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ekogeoglob - umowy\Ekogeoglob\PGN\Gotowe\"/>
    </mc:Choice>
  </mc:AlternateContent>
  <bookViews>
    <workbookView xWindow="0" yWindow="0" windowWidth="23040" windowHeight="8616" firstSheet="11" activeTab="14"/>
  </bookViews>
  <sheets>
    <sheet name="Wskaźniki emisji" sheetId="18" r:id="rId1"/>
    <sheet name="Wskaźniki emisji subst." sheetId="21" r:id="rId2"/>
    <sheet name="Informacje ogolne" sheetId="3" r:id="rId3"/>
    <sheet name="Ankietyzacja mieszkańców" sheetId="20" r:id="rId4"/>
    <sheet name="Sektor mieszkaniowy" sheetId="5" r:id="rId5"/>
    <sheet name="Sektor transportu" sheetId="19" r:id="rId6"/>
    <sheet name="Sektor Handlu i Usług" sheetId="7" r:id="rId7"/>
    <sheet name="Sektor oświetlenia ulicznego" sheetId="8" r:id="rId8"/>
    <sheet name="Sektor użyteczności publicznej" sheetId="9" r:id="rId9"/>
    <sheet name="Emisja pyłów i B(a)P" sheetId="10" state="hidden" r:id="rId10"/>
    <sheet name="Zużycie energii -sektory SEAP" sheetId="11" r:id="rId11"/>
    <sheet name="Emisja CO2 - sektory SEAP" sheetId="12" r:id="rId12"/>
    <sheet name="Bilans" sheetId="13" r:id="rId13"/>
    <sheet name="Działania" sheetId="14" r:id="rId14"/>
    <sheet name="Metodyka" sheetId="15" r:id="rId15"/>
    <sheet name="Planowane rezultaty" sheetId="16" r:id="rId16"/>
    <sheet name="Monitoring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8" hidden="1">'Sektor użyteczności publicznej'!$B$4:$K$9</definedName>
    <definedName name="bdecost">"$#REF!.$E$12"</definedName>
    <definedName name="bdeeco2">"$#REF!.$J$12"</definedName>
    <definedName name="bdieselcost">"$#REF!.$E$14"</definedName>
    <definedName name="bdieseleco2">"$#REF!.$J$14"</definedName>
    <definedName name="beleccost">"$#REF!.$E$10"</definedName>
    <definedName name="belececo2">"$#REF!.$J$10"</definedName>
    <definedName name="bfocost">"$#REF!.$E$13"</definedName>
    <definedName name="bfoeco2">"$#REF!.$J$13"</definedName>
    <definedName name="bngcost">"$#REF!.$E$11"</definedName>
    <definedName name="bngeco2">"$#REF!.$J$11"</definedName>
    <definedName name="bpropanecost">"$#REF!.$E$15"</definedName>
    <definedName name="bpropaneeco2">"$#REF!.$J$15"</definedName>
    <definedName name="buildingcost">'[1]Budynki UM'!$AQ$61</definedName>
    <definedName name="buildingeco2">"$#REF!.$J$16"</definedName>
    <definedName name="buildingsde">"$#REF!.$E$12"</definedName>
    <definedName name="buildingsdiesel">"$#REF!.$E$14"</definedName>
    <definedName name="buildingselec">"$#REF!.$E$10"</definedName>
    <definedName name="buildingsfo">"$#REF!.$E$13"</definedName>
    <definedName name="buildingsng">"$#REF!.$E$11"</definedName>
    <definedName name="buildingspropane">"$#REF!.$E$15"</definedName>
    <definedName name="comyear">'[1]General Info'!$D$8</definedName>
    <definedName name="corpyear">'[1]General Info'!$D$7</definedName>
    <definedName name="name">'[1]General Info'!$D$5</definedName>
    <definedName name="NIE_STALE">'Wskaźniki emisji subst.'!$C$3</definedName>
    <definedName name="_xlnm.Print_Area" localSheetId="12">Bilans!$A$1:$H$13</definedName>
    <definedName name="_xlnm.Print_Area" localSheetId="13">Działania!$A$1:$L$30</definedName>
    <definedName name="_xlnm.Print_Area" localSheetId="11">'Emisja CO2 - sektory SEAP'!$A$1:$L$27</definedName>
    <definedName name="_xlnm.Print_Area" localSheetId="9">'Emisja pyłów i B(a)P'!$A$1:$I$21</definedName>
    <definedName name="_xlnm.Print_Area" localSheetId="2">'Informacje ogolne'!$A$1:$X$40</definedName>
    <definedName name="_xlnm.Print_Area" localSheetId="14">Metodyka!$A$1:$M$106</definedName>
    <definedName name="_xlnm.Print_Area" localSheetId="16">Monitoring!$A$1:$I$15</definedName>
    <definedName name="_xlnm.Print_Area" localSheetId="15">'Planowane rezultaty'!$A$1:$I$13</definedName>
    <definedName name="_xlnm.Print_Area" localSheetId="6">'Sektor Handlu i Usług'!$A$1:$J$28</definedName>
    <definedName name="_xlnm.Print_Area" localSheetId="4">'Sektor mieszkaniowy'!$A$1:$K$75</definedName>
    <definedName name="_xlnm.Print_Area" localSheetId="7">'Sektor oświetlenia ulicznego'!$A$1:$I$15</definedName>
    <definedName name="_xlnm.Print_Area" localSheetId="5">'Sektor transportu'!$A$1:$T$74</definedName>
    <definedName name="_xlnm.Print_Area" localSheetId="8">'Sektor użyteczności publicznej'!$A$1:$K$14</definedName>
    <definedName name="_xlnm.Print_Area" localSheetId="0">'Wskaźniki emisji'!$A$1:$H$29</definedName>
    <definedName name="slelecuse">"$#REF!.$D$10"</definedName>
    <definedName name="_xlnm.Print_Titles" localSheetId="12">Bilans!$2:$2</definedName>
    <definedName name="_xlnm.Print_Titles" localSheetId="4">'Sektor mieszkaniowy'!$2:$2</definedName>
    <definedName name="vehiclefleeteco2">'[1]Flota pojazdów_nie_edytować'!$AH$70</definedName>
    <definedName name="vfcngcost">"$#REF!.$E$13"</definedName>
    <definedName name="vfcngeco2">"$#REF!.$F$13"</definedName>
    <definedName name="vfdieselcost">"$#REF!.$E$11"</definedName>
    <definedName name="vfebcost">"$#REF!.$E$14"</definedName>
    <definedName name="vfebeco2">"$#REF!.$F$14"</definedName>
    <definedName name="vfgascost">"$#REF!.$E$10"</definedName>
    <definedName name="vfpropanecost">"$#REF!.$E$12"</definedName>
    <definedName name="vfpropaneeco2">"$#REF!.$F$12"</definedName>
    <definedName name="vgdieseleco2">"$#REF!.$F$11"</definedName>
    <definedName name="vggaseco2">"$#REF!.$F$10"</definedName>
    <definedName name="WEGIEL">'Wskaźniki emisji subst.'!$C$10</definedName>
    <definedName name="ZAPOTRZEBOWANIE_JEDNO">'Wskaźniki emisji subst.'!$C$105</definedName>
    <definedName name="ZAPOTRZEBOWANIE_WIELO">'Wskaźniki emisji subst.'!$C$106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1" l="1"/>
  <c r="D22" i="12"/>
  <c r="D9" i="12"/>
  <c r="D9" i="11"/>
  <c r="I7" i="9"/>
  <c r="I79" i="15" l="1"/>
  <c r="I78" i="15"/>
  <c r="I62" i="5" l="1"/>
  <c r="I60" i="5"/>
  <c r="I59" i="5"/>
  <c r="D50" i="15"/>
  <c r="G18" i="14" s="1"/>
  <c r="E45" i="15"/>
  <c r="C45" i="15"/>
  <c r="E44" i="15"/>
  <c r="C44" i="15"/>
  <c r="D43" i="15" l="1"/>
  <c r="D38" i="15"/>
  <c r="C20" i="14" l="1"/>
  <c r="F16" i="14"/>
  <c r="F18" i="14" s="1"/>
  <c r="E16" i="14"/>
  <c r="E18" i="14" s="1"/>
  <c r="Q26" i="19"/>
  <c r="N27" i="19"/>
  <c r="J95" i="15"/>
  <c r="G20" i="14" s="1"/>
  <c r="I95" i="15"/>
  <c r="K94" i="15"/>
  <c r="J94" i="15"/>
  <c r="I94" i="15"/>
  <c r="K93" i="15"/>
  <c r="K91" i="15"/>
  <c r="K92" i="15" s="1"/>
  <c r="I93" i="15"/>
  <c r="I92" i="15"/>
  <c r="I91" i="15"/>
  <c r="I90" i="15"/>
  <c r="K89" i="15"/>
  <c r="K87" i="15"/>
  <c r="K82" i="15"/>
  <c r="J82" i="15"/>
  <c r="K81" i="15"/>
  <c r="K83" i="15" s="1"/>
  <c r="K84" i="15" s="1"/>
  <c r="K90" i="15" s="1"/>
  <c r="K80" i="15"/>
  <c r="J80" i="15"/>
  <c r="J83" i="15" s="1"/>
  <c r="F20" i="14" l="1"/>
  <c r="J73" i="15"/>
  <c r="J76" i="15" s="1"/>
  <c r="E104" i="15"/>
  <c r="E103" i="15"/>
  <c r="D91" i="15"/>
  <c r="D90" i="15"/>
  <c r="D89" i="15"/>
  <c r="D84" i="15"/>
  <c r="D45" i="15" s="1"/>
  <c r="D83" i="15"/>
  <c r="D44" i="15" s="1"/>
  <c r="D82" i="15"/>
  <c r="D74" i="15"/>
  <c r="J74" i="15" s="1"/>
  <c r="D72" i="15"/>
  <c r="J72" i="15" s="1"/>
  <c r="D100" i="15"/>
  <c r="G16" i="14" s="1"/>
  <c r="E97" i="15"/>
  <c r="E96" i="15"/>
  <c r="E102" i="15" s="1"/>
  <c r="E95" i="15"/>
  <c r="E101" i="15" s="1"/>
  <c r="E94" i="15"/>
  <c r="E93" i="15"/>
  <c r="E92" i="15"/>
  <c r="E91" i="15"/>
  <c r="E90" i="15"/>
  <c r="E89" i="15"/>
  <c r="E81" i="15"/>
  <c r="D76" i="15"/>
  <c r="J77" i="15" l="1"/>
  <c r="J79" i="15" s="1"/>
  <c r="J89" i="15"/>
  <c r="J88" i="15"/>
  <c r="D77" i="15"/>
  <c r="D81" i="15" s="1"/>
  <c r="K20" i="14" l="1"/>
  <c r="J91" i="15"/>
  <c r="K21" i="14" s="1"/>
  <c r="D80" i="15"/>
  <c r="D88" i="15" s="1"/>
  <c r="L20" i="14"/>
  <c r="J92" i="15"/>
  <c r="L21" i="14" s="1"/>
  <c r="J81" i="15"/>
  <c r="D85" i="15"/>
  <c r="D86" i="15"/>
  <c r="D98" i="15"/>
  <c r="D93" i="15"/>
  <c r="D94" i="15"/>
  <c r="D92" i="15"/>
  <c r="D96" i="15" l="1"/>
  <c r="J84" i="15"/>
  <c r="I20" i="14" s="1"/>
  <c r="H16" i="14"/>
  <c r="D104" i="15"/>
  <c r="H17" i="14" s="1"/>
  <c r="D102" i="15"/>
  <c r="K17" i="14" s="1"/>
  <c r="K16" i="14"/>
  <c r="D87" i="15"/>
  <c r="D97" i="15" s="1"/>
  <c r="D95" i="15"/>
  <c r="J90" i="15" l="1"/>
  <c r="I21" i="14" s="1"/>
  <c r="J85" i="15"/>
  <c r="H20" i="14" s="1"/>
  <c r="D103" i="15"/>
  <c r="L17" i="14" s="1"/>
  <c r="L16" i="14"/>
  <c r="D101" i="15"/>
  <c r="I17" i="14" s="1"/>
  <c r="I16" i="14"/>
  <c r="D17" i="15"/>
  <c r="J93" i="15" l="1"/>
  <c r="H21" i="14" s="1"/>
  <c r="C8" i="8"/>
  <c r="F17" i="7"/>
  <c r="F16" i="7"/>
  <c r="F15" i="7"/>
  <c r="D26" i="7"/>
  <c r="D25" i="7"/>
  <c r="D24" i="7"/>
  <c r="G9" i="9"/>
  <c r="G8" i="9"/>
  <c r="G7" i="9"/>
  <c r="G6" i="9"/>
  <c r="H6" i="9" s="1"/>
  <c r="I5" i="9"/>
  <c r="G5" i="9"/>
  <c r="E60" i="5"/>
  <c r="H62" i="5"/>
  <c r="H61" i="5"/>
  <c r="H60" i="5"/>
  <c r="H59" i="5"/>
  <c r="H58" i="5"/>
  <c r="G58" i="5"/>
  <c r="F58" i="5"/>
  <c r="C42" i="5"/>
  <c r="Q31" i="3"/>
  <c r="H15" i="5" l="1"/>
  <c r="H23" i="5" s="1"/>
  <c r="W21" i="3"/>
  <c r="J31" i="3"/>
  <c r="J17" i="3"/>
  <c r="W12" i="3"/>
  <c r="J12" i="3"/>
  <c r="C31" i="3" l="1"/>
  <c r="D31" i="3"/>
  <c r="E31" i="3"/>
  <c r="F31" i="3"/>
  <c r="G31" i="3"/>
  <c r="H31" i="3"/>
  <c r="I31" i="3"/>
  <c r="J6" i="3"/>
  <c r="F4" i="16" l="1"/>
  <c r="H15" i="14" l="1"/>
  <c r="J15" i="14" s="1"/>
  <c r="E15" i="14"/>
  <c r="E17" i="14" s="1"/>
  <c r="E19" i="14" s="1"/>
  <c r="E23" i="14"/>
  <c r="E25" i="14" s="1"/>
  <c r="E27" i="14" s="1"/>
  <c r="N54" i="19"/>
  <c r="N30" i="19"/>
  <c r="N6" i="19"/>
  <c r="B37" i="19"/>
  <c r="B34" i="19"/>
  <c r="B31" i="19"/>
  <c r="O33" i="19"/>
  <c r="O32" i="19"/>
  <c r="O35" i="19" s="1"/>
  <c r="O38" i="19" s="1"/>
  <c r="O41" i="19" s="1"/>
  <c r="O44" i="19" s="1"/>
  <c r="O31" i="19"/>
  <c r="J33" i="19"/>
  <c r="J45" i="19" s="1"/>
  <c r="J32" i="19"/>
  <c r="J35" i="19" s="1"/>
  <c r="J38" i="19" s="1"/>
  <c r="J31" i="19"/>
  <c r="D48" i="19"/>
  <c r="D47" i="19"/>
  <c r="D46" i="19"/>
  <c r="G45" i="19"/>
  <c r="I45" i="19" s="1"/>
  <c r="G44" i="19"/>
  <c r="I44" i="19" s="1"/>
  <c r="E44" i="19"/>
  <c r="G43" i="19"/>
  <c r="I43" i="19" s="1"/>
  <c r="E43" i="19"/>
  <c r="G42" i="19"/>
  <c r="I42" i="19" s="1"/>
  <c r="G41" i="19"/>
  <c r="I41" i="19" s="1"/>
  <c r="I40" i="19"/>
  <c r="G40" i="19"/>
  <c r="F39" i="19"/>
  <c r="G39" i="19" s="1"/>
  <c r="I39" i="19" s="1"/>
  <c r="F38" i="19"/>
  <c r="G38" i="19" s="1"/>
  <c r="I38" i="19" s="1"/>
  <c r="E38" i="19"/>
  <c r="K37" i="19"/>
  <c r="K40" i="19" s="1"/>
  <c r="K43" i="19" s="1"/>
  <c r="F37" i="19"/>
  <c r="G37" i="19" s="1"/>
  <c r="I37" i="19" s="1"/>
  <c r="E37" i="19"/>
  <c r="K36" i="19"/>
  <c r="K39" i="19" s="1"/>
  <c r="K42" i="19" s="1"/>
  <c r="K45" i="19" s="1"/>
  <c r="F36" i="19"/>
  <c r="G36" i="19" s="1"/>
  <c r="I36" i="19" s="1"/>
  <c r="E36" i="19"/>
  <c r="K35" i="19"/>
  <c r="K38" i="19" s="1"/>
  <c r="K41" i="19" s="1"/>
  <c r="K44" i="19" s="1"/>
  <c r="F35" i="19"/>
  <c r="G35" i="19" s="1"/>
  <c r="I35" i="19" s="1"/>
  <c r="E35" i="19"/>
  <c r="K34" i="19"/>
  <c r="F34" i="19"/>
  <c r="G34" i="19" s="1"/>
  <c r="I34" i="19" s="1"/>
  <c r="E34" i="19"/>
  <c r="O36" i="19"/>
  <c r="O39" i="19" s="1"/>
  <c r="O42" i="19" s="1"/>
  <c r="O45" i="19" s="1"/>
  <c r="I33" i="19"/>
  <c r="G33" i="19"/>
  <c r="H32" i="19"/>
  <c r="G32" i="19"/>
  <c r="O34" i="19"/>
  <c r="O37" i="19" s="1"/>
  <c r="O40" i="19" s="1"/>
  <c r="O43" i="19" s="1"/>
  <c r="J34" i="19"/>
  <c r="J37" i="19" s="1"/>
  <c r="G31" i="19"/>
  <c r="I31" i="19" s="1"/>
  <c r="E17" i="7"/>
  <c r="E16" i="7"/>
  <c r="E15" i="7"/>
  <c r="D18" i="7"/>
  <c r="K30" i="15"/>
  <c r="K29" i="15"/>
  <c r="J29" i="15"/>
  <c r="J30" i="15" s="1"/>
  <c r="I15" i="14" s="1"/>
  <c r="K27" i="15"/>
  <c r="I28" i="15"/>
  <c r="K62" i="15"/>
  <c r="K60" i="15"/>
  <c r="K61" i="15"/>
  <c r="E62" i="15"/>
  <c r="E61" i="15"/>
  <c r="D61" i="15"/>
  <c r="H25" i="14" s="1"/>
  <c r="J25" i="14" s="1"/>
  <c r="E60" i="15"/>
  <c r="E37" i="15"/>
  <c r="E36" i="15"/>
  <c r="B46" i="19" l="1"/>
  <c r="L33" i="19"/>
  <c r="L34" i="19"/>
  <c r="P34" i="19" s="1"/>
  <c r="L35" i="19"/>
  <c r="J40" i="19"/>
  <c r="J42" i="19"/>
  <c r="L42" i="19" s="1"/>
  <c r="J43" i="19"/>
  <c r="L43" i="19" s="1"/>
  <c r="J44" i="19"/>
  <c r="L44" i="19" s="1"/>
  <c r="L31" i="19"/>
  <c r="M31" i="19" s="1"/>
  <c r="I32" i="19"/>
  <c r="L32" i="19" s="1"/>
  <c r="M32" i="19" s="1"/>
  <c r="J41" i="19"/>
  <c r="L41" i="19" s="1"/>
  <c r="M34" i="19"/>
  <c r="L45" i="19"/>
  <c r="L40" i="19"/>
  <c r="M33" i="19"/>
  <c r="P33" i="19"/>
  <c r="L37" i="19"/>
  <c r="L38" i="19"/>
  <c r="J36" i="19"/>
  <c r="L36" i="19" s="1"/>
  <c r="J39" i="19"/>
  <c r="L39" i="19" s="1"/>
  <c r="E18" i="7"/>
  <c r="L47" i="19" l="1"/>
  <c r="P31" i="19"/>
  <c r="P44" i="19"/>
  <c r="M44" i="19"/>
  <c r="P41" i="19"/>
  <c r="M41" i="19"/>
  <c r="P32" i="19"/>
  <c r="M35" i="19"/>
  <c r="P35" i="19"/>
  <c r="P39" i="19"/>
  <c r="M39" i="19"/>
  <c r="P36" i="19"/>
  <c r="M36" i="19"/>
  <c r="L48" i="19"/>
  <c r="P37" i="19"/>
  <c r="M37" i="19"/>
  <c r="P40" i="19"/>
  <c r="M40" i="19"/>
  <c r="P45" i="19"/>
  <c r="M45" i="19"/>
  <c r="L46" i="19"/>
  <c r="P43" i="19"/>
  <c r="M43" i="19"/>
  <c r="M38" i="19"/>
  <c r="P38" i="19"/>
  <c r="M42" i="19"/>
  <c r="P42" i="19"/>
  <c r="N31" i="19"/>
  <c r="M47" i="19" l="1"/>
  <c r="K47" i="19" s="1"/>
  <c r="Q34" i="19"/>
  <c r="M48" i="19"/>
  <c r="K48" i="19" s="1"/>
  <c r="N34" i="19"/>
  <c r="N40" i="19"/>
  <c r="N37" i="19"/>
  <c r="N43" i="19"/>
  <c r="Q31" i="19"/>
  <c r="M46" i="19"/>
  <c r="P48" i="19"/>
  <c r="P47" i="19"/>
  <c r="Q37" i="19"/>
  <c r="K46" i="19"/>
  <c r="Q40" i="19"/>
  <c r="P46" i="19"/>
  <c r="Q43" i="19"/>
  <c r="Q54" i="19"/>
  <c r="O46" i="19" l="1"/>
  <c r="N46" i="19"/>
  <c r="Q46" i="19"/>
  <c r="R34" i="19" s="1"/>
  <c r="F9" i="14"/>
  <c r="F10" i="14" s="1"/>
  <c r="F12" i="14" s="1"/>
  <c r="F13" i="14" s="1"/>
  <c r="F14" i="14" s="1"/>
  <c r="F8" i="14"/>
  <c r="E8" i="14"/>
  <c r="E9" i="14" s="1"/>
  <c r="E10" i="14" s="1"/>
  <c r="E12" i="14" s="1"/>
  <c r="E13" i="14" s="1"/>
  <c r="E14" i="14" s="1"/>
  <c r="D59" i="15"/>
  <c r="D62" i="15" s="1"/>
  <c r="I25" i="14" s="1"/>
  <c r="J64" i="15"/>
  <c r="D26" i="15"/>
  <c r="D15" i="15"/>
  <c r="E12" i="8"/>
  <c r="D7" i="15" s="1"/>
  <c r="D9" i="15" s="1"/>
  <c r="G12" i="14"/>
  <c r="D10" i="15"/>
  <c r="R40" i="19" l="1"/>
  <c r="R43" i="19"/>
  <c r="R37" i="19"/>
  <c r="R31" i="19"/>
  <c r="D11" i="15"/>
  <c r="D12" i="15"/>
  <c r="D14" i="15" l="1"/>
  <c r="H12" i="14" s="1"/>
  <c r="H10" i="11"/>
  <c r="E10" i="11"/>
  <c r="C10" i="11"/>
  <c r="F69" i="19"/>
  <c r="F68" i="19"/>
  <c r="F67" i="19"/>
  <c r="F57" i="19"/>
  <c r="F60" i="19" s="1"/>
  <c r="F56" i="19"/>
  <c r="F59" i="19" s="1"/>
  <c r="F55" i="19"/>
  <c r="F58" i="19" s="1"/>
  <c r="F54" i="19"/>
  <c r="B54" i="19"/>
  <c r="E68" i="19"/>
  <c r="E67" i="19"/>
  <c r="F63" i="19"/>
  <c r="F62" i="19" s="1"/>
  <c r="E62" i="19"/>
  <c r="E61" i="19"/>
  <c r="K60" i="19"/>
  <c r="K63" i="19" s="1"/>
  <c r="K66" i="19" s="1"/>
  <c r="K69" i="19" s="1"/>
  <c r="E60" i="19"/>
  <c r="K59" i="19"/>
  <c r="K62" i="19" s="1"/>
  <c r="K65" i="19" s="1"/>
  <c r="K68" i="19" s="1"/>
  <c r="E59" i="19"/>
  <c r="K58" i="19"/>
  <c r="K61" i="19" s="1"/>
  <c r="K64" i="19" s="1"/>
  <c r="K67" i="19" s="1"/>
  <c r="E58" i="19"/>
  <c r="O57" i="19"/>
  <c r="O60" i="19" s="1"/>
  <c r="O63" i="19" s="1"/>
  <c r="O66" i="19" s="1"/>
  <c r="O69" i="19" s="1"/>
  <c r="O56" i="19"/>
  <c r="O59" i="19" s="1"/>
  <c r="O62" i="19" s="1"/>
  <c r="O65" i="19" s="1"/>
  <c r="O68" i="19" s="1"/>
  <c r="H56" i="19"/>
  <c r="O55" i="19"/>
  <c r="O58" i="19" s="1"/>
  <c r="O61" i="19" s="1"/>
  <c r="O64" i="19" s="1"/>
  <c r="O67" i="19" s="1"/>
  <c r="D24" i="19"/>
  <c r="D23" i="19"/>
  <c r="D22" i="19"/>
  <c r="B22" i="19"/>
  <c r="G21" i="19"/>
  <c r="I21" i="19" s="1"/>
  <c r="G20" i="19"/>
  <c r="I20" i="19" s="1"/>
  <c r="E20" i="19"/>
  <c r="G19" i="19"/>
  <c r="I19" i="19" s="1"/>
  <c r="E19" i="19"/>
  <c r="G18" i="19"/>
  <c r="I18" i="19" s="1"/>
  <c r="G17" i="19"/>
  <c r="I17" i="19" s="1"/>
  <c r="G16" i="19"/>
  <c r="I16" i="19" s="1"/>
  <c r="F15" i="19"/>
  <c r="F14" i="19" s="1"/>
  <c r="G14" i="19" s="1"/>
  <c r="I14" i="19" s="1"/>
  <c r="E14" i="19"/>
  <c r="E13" i="19"/>
  <c r="K12" i="19"/>
  <c r="K15" i="19" s="1"/>
  <c r="K18" i="19" s="1"/>
  <c r="K21" i="19" s="1"/>
  <c r="F12" i="19"/>
  <c r="G12" i="19" s="1"/>
  <c r="I12" i="19" s="1"/>
  <c r="E12" i="19"/>
  <c r="S11" i="19"/>
  <c r="K11" i="19"/>
  <c r="K14" i="19" s="1"/>
  <c r="K17" i="19" s="1"/>
  <c r="K20" i="19" s="1"/>
  <c r="F11" i="19"/>
  <c r="G11" i="19" s="1"/>
  <c r="I11" i="19" s="1"/>
  <c r="E11" i="19"/>
  <c r="S10" i="19"/>
  <c r="K10" i="19"/>
  <c r="K13" i="19" s="1"/>
  <c r="K16" i="19" s="1"/>
  <c r="K19" i="19" s="1"/>
  <c r="F10" i="19"/>
  <c r="G10" i="19" s="1"/>
  <c r="I10" i="19" s="1"/>
  <c r="E10" i="19"/>
  <c r="S9" i="19"/>
  <c r="O9" i="19"/>
  <c r="O12" i="19" s="1"/>
  <c r="O15" i="19" s="1"/>
  <c r="O18" i="19" s="1"/>
  <c r="O21" i="19" s="1"/>
  <c r="J9" i="19"/>
  <c r="J57" i="19" s="1"/>
  <c r="G9" i="19"/>
  <c r="I9" i="19" s="1"/>
  <c r="S8" i="19"/>
  <c r="O8" i="19"/>
  <c r="O11" i="19" s="1"/>
  <c r="O14" i="19" s="1"/>
  <c r="O17" i="19" s="1"/>
  <c r="O20" i="19" s="1"/>
  <c r="J8" i="19"/>
  <c r="J56" i="19" s="1"/>
  <c r="H8" i="19"/>
  <c r="G8" i="19"/>
  <c r="S7" i="19"/>
  <c r="O7" i="19"/>
  <c r="O10" i="19" s="1"/>
  <c r="O13" i="19" s="1"/>
  <c r="O16" i="19" s="1"/>
  <c r="O19" i="19" s="1"/>
  <c r="J7" i="19"/>
  <c r="J16" i="19" s="1"/>
  <c r="G7" i="19"/>
  <c r="I7" i="19" s="1"/>
  <c r="F9" i="7"/>
  <c r="F8" i="7"/>
  <c r="F7" i="7"/>
  <c r="E9" i="7"/>
  <c r="E8" i="7"/>
  <c r="E7" i="7"/>
  <c r="E23" i="7"/>
  <c r="F8" i="9"/>
  <c r="G6" i="8"/>
  <c r="E10" i="7" l="1"/>
  <c r="D16" i="15"/>
  <c r="I12" i="14" s="1"/>
  <c r="G8" i="7"/>
  <c r="G7" i="7"/>
  <c r="G9" i="7"/>
  <c r="I8" i="19"/>
  <c r="L8" i="19" s="1"/>
  <c r="L7" i="19"/>
  <c r="P7" i="19" s="1"/>
  <c r="J12" i="19"/>
  <c r="L12" i="19" s="1"/>
  <c r="M12" i="19" s="1"/>
  <c r="J11" i="19"/>
  <c r="J14" i="19" s="1"/>
  <c r="L14" i="19" s="1"/>
  <c r="M14" i="19" s="1"/>
  <c r="L9" i="19"/>
  <c r="M9" i="19" s="1"/>
  <c r="J69" i="19"/>
  <c r="J60" i="19"/>
  <c r="J66" i="19"/>
  <c r="J63" i="19"/>
  <c r="L16" i="19"/>
  <c r="J68" i="19"/>
  <c r="J65" i="19"/>
  <c r="J59" i="19"/>
  <c r="J62" i="19" s="1"/>
  <c r="G15" i="19"/>
  <c r="I15" i="19" s="1"/>
  <c r="J17" i="19"/>
  <c r="L17" i="19" s="1"/>
  <c r="J18" i="19"/>
  <c r="L18" i="19" s="1"/>
  <c r="J20" i="19"/>
  <c r="L20" i="19" s="1"/>
  <c r="J21" i="19"/>
  <c r="L21" i="19" s="1"/>
  <c r="F61" i="19"/>
  <c r="J10" i="19"/>
  <c r="J13" i="19" s="1"/>
  <c r="J19" i="19"/>
  <c r="L19" i="19" s="1"/>
  <c r="J55" i="19"/>
  <c r="F13" i="19"/>
  <c r="G13" i="19" s="1"/>
  <c r="I13" i="19" s="1"/>
  <c r="J15" i="19"/>
  <c r="H8" i="9"/>
  <c r="I8" i="9"/>
  <c r="K7" i="9"/>
  <c r="K5" i="9"/>
  <c r="H5" i="9"/>
  <c r="H21" i="11" s="1"/>
  <c r="E5" i="9"/>
  <c r="E6" i="9" s="1"/>
  <c r="H51" i="5"/>
  <c r="G48" i="5"/>
  <c r="H48" i="5"/>
  <c r="F48" i="5"/>
  <c r="G30" i="5"/>
  <c r="H16" i="5"/>
  <c r="H24" i="5" s="1"/>
  <c r="E15" i="5"/>
  <c r="H14" i="5"/>
  <c r="H22" i="5" s="1"/>
  <c r="F6" i="5"/>
  <c r="G18" i="18"/>
  <c r="G17" i="18"/>
  <c r="G16" i="18"/>
  <c r="G15" i="18"/>
  <c r="G14" i="18"/>
  <c r="G13" i="18"/>
  <c r="G12" i="18"/>
  <c r="G11" i="18"/>
  <c r="G10" i="18"/>
  <c r="G9" i="18"/>
  <c r="G8" i="18"/>
  <c r="H7" i="18"/>
  <c r="G7" i="18"/>
  <c r="F7" i="18"/>
  <c r="D7" i="18"/>
  <c r="B7" i="18"/>
  <c r="G6" i="18"/>
  <c r="G5" i="18"/>
  <c r="G4" i="18"/>
  <c r="H3" i="18"/>
  <c r="G3" i="18"/>
  <c r="G2" i="18"/>
  <c r="G16" i="7" l="1"/>
  <c r="G17" i="7"/>
  <c r="G15" i="7"/>
  <c r="E50" i="5"/>
  <c r="E69" i="5" s="1"/>
  <c r="E23" i="5"/>
  <c r="G51" i="5"/>
  <c r="F51" i="5" s="1"/>
  <c r="M8" i="19"/>
  <c r="P8" i="19"/>
  <c r="P9" i="19"/>
  <c r="L15" i="19"/>
  <c r="P15" i="19" s="1"/>
  <c r="M7" i="19"/>
  <c r="G67" i="5"/>
  <c r="H70" i="5"/>
  <c r="H50" i="5"/>
  <c r="H52" i="5"/>
  <c r="H49" i="5"/>
  <c r="P14" i="19"/>
  <c r="L11" i="19"/>
  <c r="M11" i="19" s="1"/>
  <c r="P12" i="19"/>
  <c r="M18" i="19"/>
  <c r="P18" i="19"/>
  <c r="P21" i="19"/>
  <c r="M21" i="19"/>
  <c r="P20" i="19"/>
  <c r="M20" i="19"/>
  <c r="M15" i="19"/>
  <c r="P19" i="19"/>
  <c r="M19" i="19"/>
  <c r="L13" i="19"/>
  <c r="J64" i="19"/>
  <c r="J58" i="19"/>
  <c r="J67" i="19"/>
  <c r="P17" i="19"/>
  <c r="M17" i="19"/>
  <c r="L10" i="19"/>
  <c r="M16" i="19"/>
  <c r="P16" i="19"/>
  <c r="K8" i="9"/>
  <c r="E9" i="12" s="1"/>
  <c r="H7" i="9"/>
  <c r="E9" i="11" s="1"/>
  <c r="E21" i="11" s="1"/>
  <c r="J26" i="3"/>
  <c r="G18" i="7" l="1"/>
  <c r="C8" i="11"/>
  <c r="N7" i="19"/>
  <c r="Q7" i="19"/>
  <c r="N16" i="19"/>
  <c r="N19" i="19"/>
  <c r="L24" i="19"/>
  <c r="L23" i="19"/>
  <c r="P11" i="19"/>
  <c r="P23" i="19" s="1"/>
  <c r="F13" i="12" s="1"/>
  <c r="H69" i="5"/>
  <c r="M23" i="19"/>
  <c r="F13" i="11" s="1"/>
  <c r="Q19" i="19"/>
  <c r="P24" i="19"/>
  <c r="D13" i="12" s="1"/>
  <c r="M24" i="19"/>
  <c r="P13" i="19"/>
  <c r="Q13" i="19" s="1"/>
  <c r="M13" i="19"/>
  <c r="N13" i="19" s="1"/>
  <c r="P10" i="19"/>
  <c r="M10" i="19"/>
  <c r="N10" i="19" s="1"/>
  <c r="L22" i="19"/>
  <c r="J61" i="19"/>
  <c r="Q16" i="19"/>
  <c r="D9" i="9"/>
  <c r="C9" i="11" s="1"/>
  <c r="J6" i="9"/>
  <c r="D13" i="11" l="1"/>
  <c r="M22" i="19"/>
  <c r="N22" i="19" s="1"/>
  <c r="Q10" i="19"/>
  <c r="P22" i="19"/>
  <c r="H16" i="12"/>
  <c r="G16" i="12"/>
  <c r="F16" i="12"/>
  <c r="E16" i="12"/>
  <c r="D16" i="12"/>
  <c r="C16" i="12"/>
  <c r="M25" i="19" l="1"/>
  <c r="K22" i="19" s="1"/>
  <c r="O22" i="19"/>
  <c r="G13" i="11"/>
  <c r="Q22" i="19"/>
  <c r="R13" i="19" s="1"/>
  <c r="T9" i="19" s="1"/>
  <c r="G13" i="12"/>
  <c r="I21" i="15"/>
  <c r="C25" i="15"/>
  <c r="C54" i="15" s="1"/>
  <c r="I54" i="15" s="1"/>
  <c r="L55" i="15"/>
  <c r="C59" i="15"/>
  <c r="I64" i="15"/>
  <c r="B54" i="15"/>
  <c r="H54" i="15" s="1"/>
  <c r="H21" i="15"/>
  <c r="B25" i="15" s="1"/>
  <c r="I26" i="15"/>
  <c r="I31" i="15"/>
  <c r="I29" i="15" s="1"/>
  <c r="I33" i="15"/>
  <c r="C65" i="15" s="1"/>
  <c r="D29" i="15" l="1"/>
  <c r="R7" i="19"/>
  <c r="T7" i="19" s="1"/>
  <c r="R19" i="19"/>
  <c r="T11" i="19" s="1"/>
  <c r="C64" i="15"/>
  <c r="K23" i="19"/>
  <c r="K24" i="19"/>
  <c r="R16" i="19"/>
  <c r="T10" i="19" s="1"/>
  <c r="R10" i="19"/>
  <c r="T8" i="19" s="1"/>
  <c r="C11" i="13"/>
  <c r="C21" i="11"/>
  <c r="D33" i="15" l="1"/>
  <c r="D36" i="15" s="1"/>
  <c r="D47" i="15"/>
  <c r="D46" i="15"/>
  <c r="I65" i="15"/>
  <c r="C62" i="15"/>
  <c r="F17" i="5"/>
  <c r="I6" i="9"/>
  <c r="E10" i="12"/>
  <c r="H10" i="12"/>
  <c r="H33" i="5"/>
  <c r="H32" i="5"/>
  <c r="H31" i="5"/>
  <c r="J67" i="15"/>
  <c r="G26" i="14" s="1"/>
  <c r="J59" i="15"/>
  <c r="D57" i="15"/>
  <c r="G22" i="14"/>
  <c r="I35" i="15"/>
  <c r="C43" i="15" s="1"/>
  <c r="J24" i="15"/>
  <c r="J35" i="15" s="1"/>
  <c r="J9" i="15"/>
  <c r="J15" i="15" s="1"/>
  <c r="G13" i="14" s="1"/>
  <c r="C26" i="14"/>
  <c r="C24" i="14"/>
  <c r="C22" i="14"/>
  <c r="C14" i="14"/>
  <c r="B26" i="12"/>
  <c r="B23" i="12"/>
  <c r="I22" i="12"/>
  <c r="E22" i="12"/>
  <c r="B22" i="12"/>
  <c r="B21" i="12"/>
  <c r="B25" i="11"/>
  <c r="I23" i="11"/>
  <c r="H23" i="11"/>
  <c r="G23" i="11"/>
  <c r="F23" i="11"/>
  <c r="E23" i="11"/>
  <c r="D23" i="11"/>
  <c r="B22" i="11"/>
  <c r="I21" i="11"/>
  <c r="G21" i="11"/>
  <c r="F21" i="11"/>
  <c r="D21" i="11"/>
  <c r="B21" i="11"/>
  <c r="J10" i="11"/>
  <c r="E19" i="10"/>
  <c r="C19" i="10"/>
  <c r="E18" i="10"/>
  <c r="D18" i="10"/>
  <c r="C18" i="10"/>
  <c r="E17" i="10"/>
  <c r="D17" i="10"/>
  <c r="C17" i="10"/>
  <c r="D9" i="10"/>
  <c r="C9" i="10"/>
  <c r="H9" i="9"/>
  <c r="E8" i="9"/>
  <c r="E7" i="9"/>
  <c r="J7" i="9" s="1"/>
  <c r="J5" i="9"/>
  <c r="B26" i="7"/>
  <c r="B25" i="7"/>
  <c r="B24" i="7"/>
  <c r="F23" i="7"/>
  <c r="D23" i="7"/>
  <c r="B23" i="7"/>
  <c r="D10" i="7"/>
  <c r="F24" i="7"/>
  <c r="E70" i="5"/>
  <c r="E68" i="5"/>
  <c r="H67" i="5"/>
  <c r="F67" i="5"/>
  <c r="H72" i="5"/>
  <c r="H71" i="5"/>
  <c r="H68" i="5"/>
  <c r="E32" i="5"/>
  <c r="H30" i="5"/>
  <c r="F30" i="5"/>
  <c r="C9" i="5"/>
  <c r="R31" i="3"/>
  <c r="S31" i="3" s="1"/>
  <c r="T31" i="3" s="1"/>
  <c r="U31" i="3" s="1"/>
  <c r="V31" i="3" s="1"/>
  <c r="J21" i="3"/>
  <c r="Q21" i="3" s="1"/>
  <c r="R21" i="3" s="1"/>
  <c r="S21" i="3" s="1"/>
  <c r="T21" i="3" s="1"/>
  <c r="Q17" i="3"/>
  <c r="R17" i="3" s="1"/>
  <c r="S17" i="3" s="1"/>
  <c r="T17" i="3" s="1"/>
  <c r="U17" i="3" s="1"/>
  <c r="V17" i="3" s="1"/>
  <c r="Q12" i="3"/>
  <c r="R12" i="3" s="1"/>
  <c r="S12" i="3" s="1"/>
  <c r="T12" i="3" s="1"/>
  <c r="U12" i="3" s="1"/>
  <c r="V12" i="3" s="1"/>
  <c r="Q6" i="3"/>
  <c r="R6" i="3" s="1"/>
  <c r="S6" i="3" s="1"/>
  <c r="T6" i="3" s="1"/>
  <c r="I18" i="14" l="1"/>
  <c r="D37" i="15"/>
  <c r="H18" i="14" s="1"/>
  <c r="D40" i="15"/>
  <c r="K18" i="14"/>
  <c r="K28" i="14" s="1"/>
  <c r="D48" i="15"/>
  <c r="K19" i="14" s="1"/>
  <c r="K29" i="14" s="1"/>
  <c r="L18" i="14"/>
  <c r="L28" i="14" s="1"/>
  <c r="D49" i="15"/>
  <c r="L19" i="14" s="1"/>
  <c r="L29" i="14" s="1"/>
  <c r="U21" i="3"/>
  <c r="F7" i="5"/>
  <c r="F26" i="5" s="1"/>
  <c r="U6" i="3"/>
  <c r="D11" i="13"/>
  <c r="C66" i="15"/>
  <c r="I67" i="15" s="1"/>
  <c r="J63" i="15"/>
  <c r="J65" i="15" s="1"/>
  <c r="I26" i="14" s="1"/>
  <c r="J61" i="15"/>
  <c r="G17" i="5"/>
  <c r="G53" i="5" s="1"/>
  <c r="I8" i="11" s="1"/>
  <c r="H22" i="11"/>
  <c r="E25" i="7"/>
  <c r="E22" i="11"/>
  <c r="E26" i="7"/>
  <c r="C22" i="11"/>
  <c r="E24" i="7"/>
  <c r="K6" i="9"/>
  <c r="J8" i="9"/>
  <c r="J9" i="9" s="1"/>
  <c r="C9" i="12" s="1"/>
  <c r="F25" i="7"/>
  <c r="J21" i="11"/>
  <c r="J9" i="11"/>
  <c r="H26" i="14"/>
  <c r="H6" i="8"/>
  <c r="D27" i="7"/>
  <c r="J12" i="15"/>
  <c r="H13" i="14" s="1"/>
  <c r="J31" i="15"/>
  <c r="D28" i="15"/>
  <c r="D63" i="15"/>
  <c r="D66" i="15"/>
  <c r="G24" i="14" s="1"/>
  <c r="G28" i="14" s="1"/>
  <c r="F26" i="7"/>
  <c r="J35" i="3"/>
  <c r="F53" i="5"/>
  <c r="F14" i="5"/>
  <c r="G14" i="5" s="1"/>
  <c r="G49" i="5" s="1"/>
  <c r="H8" i="11" s="1"/>
  <c r="F15" i="5"/>
  <c r="F16" i="5"/>
  <c r="G16" i="5" s="1"/>
  <c r="G52" i="5" s="1"/>
  <c r="E8" i="11" s="1"/>
  <c r="D41" i="15" l="1"/>
  <c r="H19" i="14" s="1"/>
  <c r="I19" i="14"/>
  <c r="J26" i="14"/>
  <c r="J62" i="15"/>
  <c r="I27" i="14" s="1"/>
  <c r="H27" i="14"/>
  <c r="H22" i="12"/>
  <c r="F25" i="5"/>
  <c r="F63" i="5" s="1"/>
  <c r="F24" i="5"/>
  <c r="F22" i="5"/>
  <c r="F59" i="5" s="1"/>
  <c r="F23" i="5"/>
  <c r="F60" i="5" s="1"/>
  <c r="V21" i="3"/>
  <c r="F8" i="5" s="1"/>
  <c r="E11" i="13"/>
  <c r="V6" i="3"/>
  <c r="D63" i="19"/>
  <c r="G63" i="19" s="1"/>
  <c r="I63" i="19" s="1"/>
  <c r="L63" i="19" s="1"/>
  <c r="D59" i="19"/>
  <c r="G59" i="19" s="1"/>
  <c r="I59" i="19" s="1"/>
  <c r="L59" i="19" s="1"/>
  <c r="D56" i="19"/>
  <c r="D69" i="19"/>
  <c r="G69" i="19" s="1"/>
  <c r="I69" i="19" s="1"/>
  <c r="L69" i="19" s="1"/>
  <c r="D66" i="19"/>
  <c r="G66" i="19" s="1"/>
  <c r="I66" i="19" s="1"/>
  <c r="L66" i="19" s="1"/>
  <c r="D62" i="19"/>
  <c r="G62" i="19" s="1"/>
  <c r="I62" i="19" s="1"/>
  <c r="L62" i="19" s="1"/>
  <c r="D58" i="19"/>
  <c r="D68" i="19"/>
  <c r="G68" i="19" s="1"/>
  <c r="I68" i="19" s="1"/>
  <c r="L68" i="19" s="1"/>
  <c r="D65" i="19"/>
  <c r="G65" i="19" s="1"/>
  <c r="I65" i="19" s="1"/>
  <c r="L65" i="19" s="1"/>
  <c r="D61" i="19"/>
  <c r="D57" i="19"/>
  <c r="D67" i="19"/>
  <c r="D64" i="19"/>
  <c r="D60" i="19"/>
  <c r="G60" i="19" s="1"/>
  <c r="I60" i="19" s="1"/>
  <c r="L60" i="19" s="1"/>
  <c r="C43" i="5"/>
  <c r="G61" i="5" s="1"/>
  <c r="F61" i="5" s="1"/>
  <c r="J32" i="15"/>
  <c r="I14" i="14" s="1"/>
  <c r="H14" i="14"/>
  <c r="J14" i="14" s="1"/>
  <c r="H22" i="14"/>
  <c r="I23" i="14"/>
  <c r="H23" i="14"/>
  <c r="J22" i="11"/>
  <c r="G25" i="7"/>
  <c r="G26" i="7"/>
  <c r="E23" i="12" s="1"/>
  <c r="E27" i="7"/>
  <c r="G24" i="7"/>
  <c r="C23" i="12" s="1"/>
  <c r="C22" i="12"/>
  <c r="G15" i="5"/>
  <c r="G50" i="5" s="1"/>
  <c r="F50" i="5"/>
  <c r="I50" i="5" s="1"/>
  <c r="D8" i="12" s="1"/>
  <c r="C44" i="5"/>
  <c r="D64" i="15"/>
  <c r="H24" i="14"/>
  <c r="J24" i="14" s="1"/>
  <c r="J13" i="15"/>
  <c r="I13" i="14" s="1"/>
  <c r="J13" i="14"/>
  <c r="G10" i="7"/>
  <c r="C10" i="12"/>
  <c r="J10" i="12" s="1"/>
  <c r="I8" i="12"/>
  <c r="I14" i="12" s="1"/>
  <c r="I22" i="14"/>
  <c r="I15" i="5"/>
  <c r="F49" i="5"/>
  <c r="F18" i="5"/>
  <c r="I14" i="5"/>
  <c r="I16" i="5"/>
  <c r="F52" i="5"/>
  <c r="D6" i="10" s="1"/>
  <c r="C6" i="10" s="1"/>
  <c r="H28" i="14" l="1"/>
  <c r="I29" i="14"/>
  <c r="H29" i="14"/>
  <c r="J27" i="14"/>
  <c r="J29" i="14" s="1"/>
  <c r="J28" i="14"/>
  <c r="G18" i="5"/>
  <c r="F32" i="5"/>
  <c r="F34" i="5"/>
  <c r="F31" i="5"/>
  <c r="I24" i="5"/>
  <c r="F62" i="5"/>
  <c r="F64" i="5" s="1"/>
  <c r="F33" i="5"/>
  <c r="B64" i="19"/>
  <c r="G64" i="19"/>
  <c r="I64" i="19" s="1"/>
  <c r="L64" i="19" s="1"/>
  <c r="M66" i="19"/>
  <c r="P66" i="19"/>
  <c r="M68" i="19"/>
  <c r="P68" i="19"/>
  <c r="P69" i="19"/>
  <c r="M69" i="19"/>
  <c r="G55" i="19"/>
  <c r="I55" i="19" s="1"/>
  <c r="L55" i="19" s="1"/>
  <c r="B55" i="19"/>
  <c r="D70" i="19"/>
  <c r="D72" i="19"/>
  <c r="G57" i="19"/>
  <c r="I57" i="19" s="1"/>
  <c r="L57" i="19" s="1"/>
  <c r="G58" i="19"/>
  <c r="I58" i="19" s="1"/>
  <c r="L58" i="19" s="1"/>
  <c r="B58" i="19"/>
  <c r="G56" i="19"/>
  <c r="I56" i="19" s="1"/>
  <c r="L56" i="19" s="1"/>
  <c r="D71" i="19"/>
  <c r="M60" i="19"/>
  <c r="P60" i="19"/>
  <c r="B61" i="19"/>
  <c r="G61" i="19"/>
  <c r="I61" i="19" s="1"/>
  <c r="L61" i="19" s="1"/>
  <c r="M62" i="19"/>
  <c r="P62" i="19"/>
  <c r="P59" i="19"/>
  <c r="M59" i="19"/>
  <c r="P65" i="19"/>
  <c r="M65" i="19"/>
  <c r="M63" i="19"/>
  <c r="P63" i="19"/>
  <c r="B67" i="19"/>
  <c r="G67" i="19"/>
  <c r="I67" i="19" s="1"/>
  <c r="L67" i="19" s="1"/>
  <c r="I61" i="5"/>
  <c r="G27" i="7"/>
  <c r="H23" i="12"/>
  <c r="J23" i="12" s="1"/>
  <c r="G25" i="5"/>
  <c r="G63" i="5" s="1"/>
  <c r="D7" i="16" s="1"/>
  <c r="G24" i="5"/>
  <c r="G62" i="5" s="1"/>
  <c r="G54" i="5"/>
  <c r="D8" i="11"/>
  <c r="C20" i="11"/>
  <c r="G70" i="5"/>
  <c r="F70" i="5" s="1"/>
  <c r="I70" i="5" s="1"/>
  <c r="F6" i="10"/>
  <c r="E6" i="10"/>
  <c r="G6" i="10"/>
  <c r="H14" i="11"/>
  <c r="D5" i="10"/>
  <c r="K9" i="9"/>
  <c r="J22" i="12" s="1"/>
  <c r="I24" i="14"/>
  <c r="I28" i="14" s="1"/>
  <c r="C7" i="16"/>
  <c r="I14" i="11"/>
  <c r="I52" i="5"/>
  <c r="E14" i="11"/>
  <c r="I51" i="5"/>
  <c r="C8" i="12" s="1"/>
  <c r="I21" i="12"/>
  <c r="I27" i="12" s="1"/>
  <c r="I18" i="5"/>
  <c r="I49" i="5"/>
  <c r="H8" i="12" s="1"/>
  <c r="F54" i="5"/>
  <c r="F35" i="5" l="1"/>
  <c r="F68" i="5"/>
  <c r="G31" i="5"/>
  <c r="I31" i="5"/>
  <c r="G33" i="5"/>
  <c r="G71" i="5" s="1"/>
  <c r="E20" i="11" s="1"/>
  <c r="E26" i="11" s="1"/>
  <c r="I33" i="5"/>
  <c r="F71" i="5"/>
  <c r="G34" i="5"/>
  <c r="G72" i="5" s="1"/>
  <c r="I20" i="11" s="1"/>
  <c r="G7" i="16" s="1"/>
  <c r="H7" i="16" s="1"/>
  <c r="E10" i="17" s="1"/>
  <c r="F72" i="5"/>
  <c r="F69" i="5"/>
  <c r="I69" i="5" s="1"/>
  <c r="D21" i="12" s="1"/>
  <c r="I32" i="5"/>
  <c r="G32" i="5"/>
  <c r="G69" i="5" s="1"/>
  <c r="D20" i="11" s="1"/>
  <c r="M67" i="19"/>
  <c r="N67" i="19" s="1"/>
  <c r="P67" i="19"/>
  <c r="Q67" i="19" s="1"/>
  <c r="B70" i="19"/>
  <c r="M61" i="19"/>
  <c r="N61" i="19" s="1"/>
  <c r="P61" i="19"/>
  <c r="Q61" i="19" s="1"/>
  <c r="P57" i="19"/>
  <c r="P72" i="19" s="1"/>
  <c r="D26" i="12" s="1"/>
  <c r="M57" i="19"/>
  <c r="M72" i="19" s="1"/>
  <c r="D25" i="11" s="1"/>
  <c r="L72" i="19"/>
  <c r="P55" i="19"/>
  <c r="M55" i="19"/>
  <c r="L70" i="19"/>
  <c r="M56" i="19"/>
  <c r="M71" i="19" s="1"/>
  <c r="F25" i="11" s="1"/>
  <c r="F26" i="11" s="1"/>
  <c r="P56" i="19"/>
  <c r="P71" i="19" s="1"/>
  <c r="F26" i="12" s="1"/>
  <c r="F27" i="12" s="1"/>
  <c r="L71" i="19"/>
  <c r="M58" i="19"/>
  <c r="N58" i="19" s="1"/>
  <c r="P58" i="19"/>
  <c r="Q58" i="19" s="1"/>
  <c r="P64" i="19"/>
  <c r="Q64" i="19" s="1"/>
  <c r="M64" i="19"/>
  <c r="N64" i="19" s="1"/>
  <c r="E7" i="16"/>
  <c r="I22" i="5"/>
  <c r="G22" i="5"/>
  <c r="I23" i="5"/>
  <c r="G23" i="5"/>
  <c r="G60" i="5" s="1"/>
  <c r="E8" i="12"/>
  <c r="E14" i="12" s="1"/>
  <c r="J9" i="12"/>
  <c r="C5" i="10"/>
  <c r="D7" i="10"/>
  <c r="C21" i="12"/>
  <c r="J8" i="11"/>
  <c r="D10" i="17"/>
  <c r="I54" i="5"/>
  <c r="I26" i="11" l="1"/>
  <c r="I35" i="5"/>
  <c r="G68" i="5"/>
  <c r="G35" i="5"/>
  <c r="I68" i="5"/>
  <c r="D10" i="10"/>
  <c r="F73" i="5"/>
  <c r="D11" i="10"/>
  <c r="C11" i="10" s="1"/>
  <c r="I71" i="5"/>
  <c r="E21" i="12" s="1"/>
  <c r="E27" i="12" s="1"/>
  <c r="Q55" i="19"/>
  <c r="P70" i="19"/>
  <c r="N55" i="19"/>
  <c r="M70" i="19"/>
  <c r="G59" i="5"/>
  <c r="G26" i="5"/>
  <c r="I26" i="5"/>
  <c r="G5" i="10"/>
  <c r="G7" i="10" s="1"/>
  <c r="E5" i="10"/>
  <c r="E7" i="10" s="1"/>
  <c r="F5" i="10"/>
  <c r="F7" i="10" s="1"/>
  <c r="C7" i="10"/>
  <c r="F10" i="17"/>
  <c r="H14" i="12"/>
  <c r="J8" i="12"/>
  <c r="F14" i="12"/>
  <c r="H8" i="8"/>
  <c r="F8" i="8"/>
  <c r="C11" i="11" s="1"/>
  <c r="F14" i="11"/>
  <c r="D14" i="12"/>
  <c r="H21" i="12" l="1"/>
  <c r="H27" i="12" s="1"/>
  <c r="I73" i="5"/>
  <c r="D9" i="13" s="1"/>
  <c r="H20" i="11"/>
  <c r="D12" i="10"/>
  <c r="C10" i="10"/>
  <c r="F11" i="10"/>
  <c r="E11" i="10"/>
  <c r="G11" i="10"/>
  <c r="N70" i="19"/>
  <c r="G25" i="11"/>
  <c r="O70" i="19"/>
  <c r="Q70" i="19"/>
  <c r="G26" i="12"/>
  <c r="I64" i="5"/>
  <c r="G64" i="5"/>
  <c r="D10" i="13" s="1"/>
  <c r="D6" i="16" s="1"/>
  <c r="C23" i="11"/>
  <c r="C24" i="12"/>
  <c r="C11" i="12"/>
  <c r="J21" i="12" l="1"/>
  <c r="H26" i="11"/>
  <c r="J20" i="11"/>
  <c r="D12" i="13"/>
  <c r="D5" i="16"/>
  <c r="E5" i="16" s="1"/>
  <c r="D13" i="13"/>
  <c r="C12" i="10"/>
  <c r="E10" i="10"/>
  <c r="E12" i="10" s="1"/>
  <c r="G10" i="10"/>
  <c r="G12" i="10" s="1"/>
  <c r="F10" i="10"/>
  <c r="F12" i="10" s="1"/>
  <c r="E6" i="16"/>
  <c r="E8" i="16" s="1"/>
  <c r="D8" i="16"/>
  <c r="J11" i="11"/>
  <c r="C14" i="11"/>
  <c r="J23" i="11"/>
  <c r="C26" i="11"/>
  <c r="J11" i="12"/>
  <c r="C14" i="12"/>
  <c r="J24" i="12"/>
  <c r="C27" i="12"/>
  <c r="F8" i="16" l="1"/>
  <c r="G14" i="11"/>
  <c r="J13" i="11"/>
  <c r="J14" i="11" s="1"/>
  <c r="C10" i="13" s="1"/>
  <c r="G14" i="12"/>
  <c r="J13" i="12"/>
  <c r="J14" i="12" l="1"/>
  <c r="G15" i="12" s="1"/>
  <c r="C6" i="16"/>
  <c r="D9" i="17"/>
  <c r="C8" i="16" l="1"/>
  <c r="F6" i="16"/>
  <c r="D8" i="17"/>
  <c r="I15" i="12"/>
  <c r="C9" i="13"/>
  <c r="C13" i="13" s="1"/>
  <c r="C15" i="12"/>
  <c r="F15" i="12"/>
  <c r="C5" i="16"/>
  <c r="F5" i="16" s="1"/>
  <c r="H15" i="12"/>
  <c r="D15" i="12"/>
  <c r="E15" i="12"/>
  <c r="C12" i="13" l="1"/>
  <c r="D27" i="12"/>
  <c r="D26" i="11"/>
  <c r="G27" i="12" l="1"/>
  <c r="J26" i="12"/>
  <c r="J27" i="12" s="1"/>
  <c r="G26" i="11"/>
  <c r="J25" i="11"/>
  <c r="J26" i="11" s="1"/>
  <c r="G6" i="16" l="1"/>
  <c r="G8" i="16" s="1"/>
  <c r="E10" i="13"/>
  <c r="G5" i="16"/>
  <c r="H5" i="16" s="1"/>
  <c r="E9" i="13"/>
  <c r="H6" i="16" l="1"/>
  <c r="I6" i="16" s="1"/>
  <c r="E8" i="17"/>
  <c r="F8" i="17" s="1"/>
  <c r="I5" i="16"/>
  <c r="E13" i="13"/>
  <c r="E12" i="13"/>
  <c r="E9" i="17" l="1"/>
  <c r="F9" i="17" s="1"/>
  <c r="H8" i="16"/>
  <c r="I8" i="16" s="1"/>
</calcChain>
</file>

<file path=xl/sharedStrings.xml><?xml version="1.0" encoding="utf-8"?>
<sst xmlns="http://schemas.openxmlformats.org/spreadsheetml/2006/main" count="1969" uniqueCount="657">
  <si>
    <t>GJ</t>
  </si>
  <si>
    <t>MWh</t>
  </si>
  <si>
    <t>Olej opałowy</t>
  </si>
  <si>
    <t>Liczba mieszkańców</t>
  </si>
  <si>
    <t>Prognoza liczby mieszkańców</t>
  </si>
  <si>
    <t>Rok</t>
  </si>
  <si>
    <t>średnioroczny trend zmian</t>
  </si>
  <si>
    <t>Mieszkańcy</t>
  </si>
  <si>
    <t>Liczba mieszkań</t>
  </si>
  <si>
    <t>Prognoza liczby mieszkań</t>
  </si>
  <si>
    <t>Liczba budynków mieszkalnych</t>
  </si>
  <si>
    <t>Prognoza liczby budynków mieszkalnych</t>
  </si>
  <si>
    <t>Powierzchnia budynków mieszkalnych</t>
  </si>
  <si>
    <t>Średnia powierzchnia mieszkania</t>
  </si>
  <si>
    <t xml:space="preserve">Liczba podmiotów gospodarczych </t>
  </si>
  <si>
    <t>Prognoza liczby podmiotów gospodarczych</t>
  </si>
  <si>
    <t>Lp.</t>
  </si>
  <si>
    <t>Energia elektryczna</t>
  </si>
  <si>
    <t>x</t>
  </si>
  <si>
    <t>-</t>
  </si>
  <si>
    <t>SUMA</t>
  </si>
  <si>
    <t>węgiel</t>
  </si>
  <si>
    <t>en. elektryczna</t>
  </si>
  <si>
    <t>olej opałowy</t>
  </si>
  <si>
    <t>biomasa</t>
  </si>
  <si>
    <t>Zapotrzebowanie na energię cieplną</t>
  </si>
  <si>
    <t>Zużycie ciepła [MWh]</t>
  </si>
  <si>
    <r>
      <t>wskaźnik emisji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/MWh]</t>
    </r>
  </si>
  <si>
    <r>
      <t>Emisja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</si>
  <si>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t>Wykorzystanie energii elektrycznej</t>
  </si>
  <si>
    <t>Zużycie energii [MWh]</t>
  </si>
  <si>
    <t>Motocykle</t>
  </si>
  <si>
    <t>Benzyna</t>
  </si>
  <si>
    <t>Diesel</t>
  </si>
  <si>
    <t>LPG</t>
  </si>
  <si>
    <t>Sektor handlu i usług</t>
  </si>
  <si>
    <t>Paliwo</t>
  </si>
  <si>
    <t>Zużycie MWh</t>
  </si>
  <si>
    <t>Emisja CO2 [Mg CO2]</t>
  </si>
  <si>
    <t>Węgiel</t>
  </si>
  <si>
    <t>Liczba opraw [sztuk]</t>
  </si>
  <si>
    <t>Czas świecenia [rok]</t>
  </si>
  <si>
    <r>
      <t>Wskaźnik emisji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/MWh]</t>
    </r>
  </si>
  <si>
    <r>
      <t>Emisja [Mg CO</t>
    </r>
    <r>
      <rPr>
        <b/>
        <vertAlign val="subscript"/>
        <sz val="12"/>
        <rFont val="Calibri"/>
        <family val="2"/>
        <charset val="238"/>
        <scheme val="minor"/>
      </rPr>
      <t>2]</t>
    </r>
  </si>
  <si>
    <t>kW</t>
  </si>
  <si>
    <t>Lp</t>
  </si>
  <si>
    <t>Nazwa obiektu</t>
  </si>
  <si>
    <t>Zużycie energii elektrycznej [MWh]</t>
  </si>
  <si>
    <t>Rodzaj paliwa</t>
  </si>
  <si>
    <t>Wykorzystanie ciepła [MWh]</t>
  </si>
  <si>
    <r>
      <t>Emisja CO</t>
    </r>
    <r>
      <rPr>
        <b/>
        <vertAlign val="subscript"/>
        <sz val="11"/>
        <color indexed="8"/>
        <rFont val="Calibri"/>
        <family val="2"/>
        <charset val="238"/>
        <scheme val="minor"/>
      </rPr>
      <t>2</t>
    </r>
    <r>
      <rPr>
        <b/>
        <sz val="11"/>
        <color indexed="8"/>
        <rFont val="Calibri"/>
        <family val="2"/>
        <charset val="238"/>
        <scheme val="minor"/>
      </rPr>
      <t xml:space="preserve"> z energii elektrycznej [Mg CO</t>
    </r>
    <r>
      <rPr>
        <b/>
        <vertAlign val="subscript"/>
        <sz val="11"/>
        <color indexed="8"/>
        <rFont val="Calibri"/>
        <family val="2"/>
        <charset val="238"/>
        <scheme val="minor"/>
      </rPr>
      <t>2</t>
    </r>
    <r>
      <rPr>
        <b/>
        <sz val="11"/>
        <color indexed="8"/>
        <rFont val="Calibri"/>
        <family val="2"/>
        <charset val="238"/>
        <scheme val="minor"/>
      </rPr>
      <t>]</t>
    </r>
  </si>
  <si>
    <r>
      <t>Emisja CO</t>
    </r>
    <r>
      <rPr>
        <b/>
        <vertAlign val="subscript"/>
        <sz val="11"/>
        <color indexed="8"/>
        <rFont val="Calibri"/>
        <family val="2"/>
        <charset val="238"/>
        <scheme val="minor"/>
      </rPr>
      <t>2</t>
    </r>
    <r>
      <rPr>
        <b/>
        <sz val="11"/>
        <color indexed="8"/>
        <rFont val="Calibri"/>
        <family val="2"/>
        <charset val="238"/>
        <scheme val="minor"/>
      </rPr>
      <t xml:space="preserve"> z wykorzystania ciepła [Mg CO</t>
    </r>
    <r>
      <rPr>
        <b/>
        <vertAlign val="subscript"/>
        <sz val="11"/>
        <color indexed="8"/>
        <rFont val="Calibri"/>
        <family val="2"/>
        <charset val="238"/>
        <scheme val="minor"/>
      </rPr>
      <t>2</t>
    </r>
    <r>
      <rPr>
        <b/>
        <sz val="11"/>
        <color indexed="8"/>
        <rFont val="Calibri"/>
        <family val="2"/>
        <charset val="238"/>
        <scheme val="minor"/>
      </rPr>
      <t>]</t>
    </r>
  </si>
  <si>
    <t>Potrzeby cieplne zaspokajane z danego rodzaju paliwa [GJ]</t>
  </si>
  <si>
    <t>Potrzeby cieplne zaspokajane z danego rodzaju paliwa [MWh]</t>
  </si>
  <si>
    <t>Emisja PM10 [Mg]</t>
  </si>
  <si>
    <t>Emisja PM2,5 [Mg]</t>
  </si>
  <si>
    <t>Emisja B(a)P [kg]</t>
  </si>
  <si>
    <t>Prognoza na rok 2020</t>
  </si>
  <si>
    <t>Emisja PM10</t>
  </si>
  <si>
    <t>Emisja PM2,5</t>
  </si>
  <si>
    <t>Emisja B(a)P</t>
  </si>
  <si>
    <t>Wskaźniki niskiej emisji</t>
  </si>
  <si>
    <t>węgiel [kg/GJ]</t>
  </si>
  <si>
    <t>paliwa gazowe [kg/GJ]</t>
  </si>
  <si>
    <t>Olej opałowy [kg/GJ]</t>
  </si>
  <si>
    <t>PM10</t>
  </si>
  <si>
    <t>PM2,5</t>
  </si>
  <si>
    <t>Benzo(a)piren</t>
  </si>
  <si>
    <t>Kategoria</t>
  </si>
  <si>
    <t>Paliwa kopalne</t>
  </si>
  <si>
    <t>Energia odnawialna</t>
  </si>
  <si>
    <t>Razem</t>
  </si>
  <si>
    <t>Gaz ciekły</t>
  </si>
  <si>
    <t>Olej napędowy</t>
  </si>
  <si>
    <t>BUDYNKI, HANDEL/USŁUGI:</t>
  </si>
  <si>
    <t xml:space="preserve"> </t>
  </si>
  <si>
    <t>Sektor mieszkaniowy</t>
  </si>
  <si>
    <t>Sektor użyteczności publicznej</t>
  </si>
  <si>
    <t>Oświetlenie uliczne</t>
  </si>
  <si>
    <t>TRANSPORT:</t>
  </si>
  <si>
    <t>Sektor transportu</t>
  </si>
  <si>
    <t>Blans zużycia energii finalnej i emisji</t>
  </si>
  <si>
    <t>Emisja roczna</t>
  </si>
  <si>
    <r>
      <t>Emisja roczna [Mg CO</t>
    </r>
    <r>
      <rPr>
        <b/>
        <vertAlign val="subscript"/>
        <sz val="11"/>
        <color rgb="FF000000"/>
        <rFont val="Calibri"/>
        <family val="2"/>
        <charset val="238"/>
      </rPr>
      <t>2</t>
    </r>
    <r>
      <rPr>
        <b/>
        <sz val="11"/>
        <color rgb="FF000000"/>
        <rFont val="Calibri"/>
        <family val="2"/>
        <charset val="238"/>
      </rPr>
      <t>]</t>
    </r>
  </si>
  <si>
    <r>
      <t>Roczna emisja na 1 mieszkańca [Mg CO</t>
    </r>
    <r>
      <rPr>
        <b/>
        <vertAlign val="subscript"/>
        <sz val="11"/>
        <color rgb="FF000000"/>
        <rFont val="Calibri"/>
        <family val="2"/>
        <charset val="238"/>
      </rPr>
      <t>2</t>
    </r>
    <r>
      <rPr>
        <b/>
        <sz val="11"/>
        <color rgb="FF000000"/>
        <rFont val="Calibri"/>
        <family val="2"/>
        <charset val="238"/>
      </rPr>
      <t>]</t>
    </r>
  </si>
  <si>
    <r>
      <t>Dobowa emisja na 1 mieszkańca [kg CO</t>
    </r>
    <r>
      <rPr>
        <b/>
        <vertAlign val="subscript"/>
        <sz val="11"/>
        <color rgb="FF000000"/>
        <rFont val="Calibri"/>
        <family val="2"/>
        <charset val="238"/>
      </rPr>
      <t>2</t>
    </r>
    <r>
      <rPr>
        <b/>
        <sz val="11"/>
        <color rgb="FF000000"/>
        <rFont val="Calibri"/>
        <family val="2"/>
        <charset val="238"/>
      </rPr>
      <t>]</t>
    </r>
  </si>
  <si>
    <t>Zestawienie działań</t>
  </si>
  <si>
    <t>Nr</t>
  </si>
  <si>
    <t>Działanie</t>
  </si>
  <si>
    <t>Sektor działania</t>
  </si>
  <si>
    <t>Termin realizacji</t>
  </si>
  <si>
    <t>Szacowany koszt inwestycji</t>
  </si>
  <si>
    <t>Efekt ekologiczny</t>
  </si>
  <si>
    <t>od</t>
  </si>
  <si>
    <t>do</t>
  </si>
  <si>
    <t>MWh/rok</t>
  </si>
  <si>
    <r>
      <t>Mg CO</t>
    </r>
    <r>
      <rPr>
        <b/>
        <vertAlign val="subscript"/>
        <sz val="10"/>
        <color theme="0"/>
        <rFont val="Calibri Light"/>
        <family val="2"/>
        <charset val="238"/>
      </rPr>
      <t>2</t>
    </r>
    <r>
      <rPr>
        <b/>
        <sz val="10"/>
        <color theme="0"/>
        <rFont val="Calibri Light"/>
        <family val="2"/>
        <charset val="238"/>
      </rPr>
      <t>/rok</t>
    </r>
  </si>
  <si>
    <t>Wzrost produkcji z OZE [MWh]</t>
  </si>
  <si>
    <t>Niskoemisyjne planowanie przestrzenne</t>
  </si>
  <si>
    <t>międzysektorowe</t>
  </si>
  <si>
    <t>Wdrożenie zasad zielonych zamówień publicznych</t>
  </si>
  <si>
    <t>Działania edukacyjne, w tym organizacja akcji społecznych związanych z efektywnością energetyczną oraz wykorzystaniem odnawialnych źródeł energii</t>
  </si>
  <si>
    <t>Działania edukacyjne związane z niskoemisyjnym transportem</t>
  </si>
  <si>
    <t>Transportu</t>
  </si>
  <si>
    <t>użyteczności publicznej</t>
  </si>
  <si>
    <t>handlu i usług</t>
  </si>
  <si>
    <t>mieszkaniowy</t>
  </si>
  <si>
    <t>Metodologia obliczania efektu ekologicznego</t>
  </si>
  <si>
    <t>Wartość</t>
  </si>
  <si>
    <t>Jednostka</t>
  </si>
  <si>
    <t>Źródło</t>
  </si>
  <si>
    <t>Ilość nowowybudowanych instalacji</t>
  </si>
  <si>
    <t>instalacja</t>
  </si>
  <si>
    <t>Założenie</t>
  </si>
  <si>
    <t>Szacunkowa moc jednej instalacji</t>
  </si>
  <si>
    <t>Łączna moc instalacji</t>
  </si>
  <si>
    <t>Roczny uzysk energii z 1 kW mocy instalacji</t>
  </si>
  <si>
    <t>kWh</t>
  </si>
  <si>
    <t>Dane branżowe</t>
  </si>
  <si>
    <t>Mg CO2/kWh</t>
  </si>
  <si>
    <t>Dane KOBiZE</t>
  </si>
  <si>
    <t>Mg CO2</t>
  </si>
  <si>
    <t>zł/kW</t>
  </si>
  <si>
    <t>zł</t>
  </si>
  <si>
    <t>Montaż instalacji OZE na obiektach handlowo - usługowych</t>
  </si>
  <si>
    <t>sztuk</t>
  </si>
  <si>
    <t>Liczba mieszkań na terenie gminy</t>
  </si>
  <si>
    <t>Dane GUS</t>
  </si>
  <si>
    <t>m2</t>
  </si>
  <si>
    <t>GJ/rok</t>
  </si>
  <si>
    <t>GJ/m2/rok</t>
  </si>
  <si>
    <t>%</t>
  </si>
  <si>
    <t>Mg CO2/GJ</t>
  </si>
  <si>
    <t>zł/mieszkanie</t>
  </si>
  <si>
    <t>Montaż instalacji fotowoltaicznych na/w budynkach mieszkalnych</t>
  </si>
  <si>
    <t>Montaż kolektorów słonecznych na budynkach mieszkalnych</t>
  </si>
  <si>
    <t>Dzienny uzysk energii</t>
  </si>
  <si>
    <t>kWh/m2</t>
  </si>
  <si>
    <t>Roczny uzysk energii z 1 MW mocy instalacji</t>
  </si>
  <si>
    <t>Liczba dni słonecznych</t>
  </si>
  <si>
    <t>dni</t>
  </si>
  <si>
    <t>Roczny uzysk energii z jednej instalacji</t>
  </si>
  <si>
    <t>Mg CO2/MWh</t>
  </si>
  <si>
    <t>Koszt budowy instalacji kolektorów słonecznych</t>
  </si>
  <si>
    <t>zł/instalcję</t>
  </si>
  <si>
    <t>Planowane rezultaty realizacji działań</t>
  </si>
  <si>
    <t xml:space="preserve">Rok bazowy </t>
  </si>
  <si>
    <t>% zmian w stosunku do roku bazowego</t>
  </si>
  <si>
    <t>Emisja CO2 [Mg]</t>
  </si>
  <si>
    <t>Zużycie energii końcowej [MWh]</t>
  </si>
  <si>
    <t>Produkcja energii z OZE</t>
  </si>
  <si>
    <t>Produkcja energii z OZE [MWh]</t>
  </si>
  <si>
    <t>Wartości wskaźników rezultatów dla Planu Gospodarki Niskoemisyjnej</t>
  </si>
  <si>
    <t>Wskaźnik oceny</t>
  </si>
  <si>
    <t>Wartość w roku bazowym</t>
  </si>
  <si>
    <t>Poziom zmian</t>
  </si>
  <si>
    <t>Przewidywany trend</t>
  </si>
  <si>
    <t>Poziom emisji dwutlenku węgla</t>
  </si>
  <si>
    <r>
      <t>Mg CO</t>
    </r>
    <r>
      <rPr>
        <vertAlign val="subscript"/>
        <sz val="9"/>
        <color rgb="FF000000"/>
        <rFont val="Calibri Light"/>
        <family val="2"/>
        <charset val="238"/>
      </rPr>
      <t>2</t>
    </r>
    <r>
      <rPr>
        <sz val="9"/>
        <color rgb="FF000000"/>
        <rFont val="Calibri Light"/>
        <family val="2"/>
        <charset val="238"/>
      </rPr>
      <t>/rok</t>
    </r>
  </si>
  <si>
    <t>spadek</t>
  </si>
  <si>
    <t>Zużycie energii finalnej</t>
  </si>
  <si>
    <t>Wzrost udziału OZE</t>
  </si>
  <si>
    <t>wzrost</t>
  </si>
  <si>
    <t xml:space="preserve">Sektor Użyteczności  Publicznej - Ankietyzacja </t>
  </si>
  <si>
    <t xml:space="preserve">Emisja szkodliwych substancji </t>
  </si>
  <si>
    <t>Podsumowanie końcowego zużycia energii we wszystkich sektorach [MWh]</t>
  </si>
  <si>
    <t>Działania niskoemisyjne</t>
  </si>
  <si>
    <t>Sektor mieszkaniowy - Struktura wykorzystania energii elektrycznej</t>
  </si>
  <si>
    <t>* wyznaczony na podstawie ankietyzacji</t>
  </si>
  <si>
    <t>Podsumowanie emisji CO2</t>
  </si>
  <si>
    <t>Sektor mieszkaniowy - Struktura wykorzystania ciepła + energia elektryczna</t>
  </si>
  <si>
    <t>Liczba instalacji OZE</t>
  </si>
  <si>
    <t>Dane z UG Czermin</t>
  </si>
  <si>
    <t>Koszt 1 kW instalacji</t>
  </si>
  <si>
    <t>Redukcja emisji CO2</t>
  </si>
  <si>
    <t>Uzysk energii</t>
  </si>
  <si>
    <t>Wskaźnik emisji dla energii elektrycznej (sieć)</t>
  </si>
  <si>
    <t>Sumaryczny koszt</t>
  </si>
  <si>
    <t>Średnia powierzchnia użytkowa mieszkania</t>
  </si>
  <si>
    <t xml:space="preserve">Łączna powierzchnia </t>
  </si>
  <si>
    <t>Ankietyzacja</t>
  </si>
  <si>
    <t xml:space="preserve">Liczba budynków opalanych węglem </t>
  </si>
  <si>
    <t>Wskaźnik emisji CO2 dla węgla</t>
  </si>
  <si>
    <t>Wskaźnik emisji CO2 dla biomasy</t>
  </si>
  <si>
    <t>Koszt wymiany kołta (dane uśrednione)</t>
  </si>
  <si>
    <t>Zapotrzebowanie energetyczne budynków - (do celów grzewczych)</t>
  </si>
  <si>
    <t>Wykorzystywane paliw na cele grzewcze- udział procentowy</t>
  </si>
  <si>
    <t xml:space="preserve">Liczba nowych instalacji fotowoltaicznych </t>
  </si>
  <si>
    <t>Moc instalacji dla budynku mieszkalnego (wartość uśredniona)</t>
  </si>
  <si>
    <t xml:space="preserve">Sumaryczna moc instalacji na terenie gminy </t>
  </si>
  <si>
    <t>Liczba nowych instalacji solarnych</t>
  </si>
  <si>
    <t>Powierzchnia czynna kolektorów w jednej instalacji (wartość uśredniona)</t>
  </si>
  <si>
    <t>Dane</t>
  </si>
  <si>
    <t>Modernizacja oświetlenia ulicznego</t>
  </si>
  <si>
    <t>gaz</t>
  </si>
  <si>
    <t>wielorodzinny</t>
  </si>
  <si>
    <t>Krzysztof Zieliński</t>
  </si>
  <si>
    <t>Charakterystyka obszaru Gmina Wyszogród</t>
  </si>
  <si>
    <t>zapotrzebowanie na energię 2016 [GJ/m2]*</t>
  </si>
  <si>
    <t>Wykorzystanie energii elektrycznej (z wyłączeniem energii na cele cieplne) w roku 2016</t>
  </si>
  <si>
    <t>Nośnik energii</t>
  </si>
  <si>
    <t>Wartości opałowa (WO)</t>
  </si>
  <si>
    <t>Wskaźniki emisji CO2 (WE)</t>
  </si>
  <si>
    <t>Wartość opałowa</t>
  </si>
  <si>
    <t xml:space="preserve">Jednostka </t>
  </si>
  <si>
    <t>Gaz ziemny wysokometanowy</t>
  </si>
  <si>
    <r>
      <t>MJ/m</t>
    </r>
    <r>
      <rPr>
        <vertAlign val="superscript"/>
        <sz val="10"/>
        <color indexed="8"/>
        <rFont val="Calibri Light"/>
        <family val="2"/>
        <charset val="238"/>
      </rPr>
      <t>3</t>
    </r>
  </si>
  <si>
    <t>kg/GJ</t>
  </si>
  <si>
    <t>Gaz ziemny zaazotowany</t>
  </si>
  <si>
    <t>Gaz z odmetanowania kopalń</t>
  </si>
  <si>
    <t>Drewno opałowe i odpady pochodzenia drzewnego (biomasa)</t>
  </si>
  <si>
    <t>MJ/kg</t>
  </si>
  <si>
    <t>Biogaz</t>
  </si>
  <si>
    <t>Koks i półkoks (w tym gazowy)</t>
  </si>
  <si>
    <t xml:space="preserve">Gaz ciekły </t>
  </si>
  <si>
    <t>GJ/kg</t>
  </si>
  <si>
    <t>Benzyny silnikowe</t>
  </si>
  <si>
    <t>Paliwa odrzutowe</t>
  </si>
  <si>
    <t>Olej napędowy (w tym olej opałowy lekki)</t>
  </si>
  <si>
    <t>Oleje opałowe</t>
  </si>
  <si>
    <t>Węgiel kamienny</t>
  </si>
  <si>
    <t>Węgiel brunatny</t>
  </si>
  <si>
    <r>
      <t>Mg CO</t>
    </r>
    <r>
      <rPr>
        <vertAlign val="subscript"/>
        <sz val="10"/>
        <color indexed="8"/>
        <rFont val="Calibri Light"/>
        <family val="2"/>
        <charset val="238"/>
      </rPr>
      <t>2</t>
    </r>
    <r>
      <rPr>
        <sz val="10"/>
        <color indexed="8"/>
        <rFont val="Calibri Light"/>
        <family val="2"/>
        <charset val="238"/>
      </rPr>
      <t>/MWh</t>
    </r>
  </si>
  <si>
    <t>Przelicznik jednostek</t>
  </si>
  <si>
    <t>1 tona</t>
  </si>
  <si>
    <t>1litr oleju opałowego</t>
  </si>
  <si>
    <t>1 m3 gazu</t>
  </si>
  <si>
    <t>1 MWh</t>
  </si>
  <si>
    <t>Zbiorcze zapotrzebowanie na energię w roku 2016 r. [GJ]</t>
  </si>
  <si>
    <t>Zbiorcze zapotrzebowanie na energię w roku 2020 r. [GJ]</t>
  </si>
  <si>
    <t>Zużycie ciepła [GJ]</t>
  </si>
  <si>
    <r>
      <t>wskaźnik emisji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/GJ]</t>
    </r>
  </si>
  <si>
    <t>Rok 2016</t>
  </si>
  <si>
    <t>Wykorzystanie ciepła [GJ]</t>
  </si>
  <si>
    <t>Moc opraw [W]</t>
  </si>
  <si>
    <t>wskaźnik emisji [Mg CO2/GJ]</t>
  </si>
  <si>
    <t xml:space="preserve">Sektor handlu i usług Źródło: Dane przekazane przez operatorów dystrybucyjnych </t>
  </si>
  <si>
    <t>Zużycie GJ</t>
  </si>
  <si>
    <t>Emisja Razem</t>
  </si>
  <si>
    <t>Zestawienie procentowe</t>
  </si>
  <si>
    <t>Rodzaj pojazdu</t>
  </si>
  <si>
    <t>Liczba pojazdów z podziałem na rodzaj paliwa</t>
  </si>
  <si>
    <t>Średni roczny przebieg na podstawie danych krajowych [km/rok]</t>
  </si>
  <si>
    <t>Łączy przebieg pojazdów [km]</t>
  </si>
  <si>
    <t>Średnie spalanie [l/km]</t>
  </si>
  <si>
    <t>Zużycie paliwa łączne dla samochodów dla danej kategorii paliwa [l]</t>
  </si>
  <si>
    <t>Wartość opałowa [GJ/kg]</t>
  </si>
  <si>
    <t>Gęstość paliwa [kg/l]</t>
  </si>
  <si>
    <t>Zużycie paliw GJ</t>
  </si>
  <si>
    <t>Zużycie paliw MWh</t>
  </si>
  <si>
    <t>Wskaźnik emisji [Mg CO2/GJ]</t>
  </si>
  <si>
    <t>Emisja CO2 [Mg CO2] w 2014 roku</t>
  </si>
  <si>
    <t>Samochody osobowe</t>
  </si>
  <si>
    <t>Samochody ciężarowe</t>
  </si>
  <si>
    <t>Ciągniki samochdowe</t>
  </si>
  <si>
    <t>Ciągniki siodłowe</t>
  </si>
  <si>
    <t>Szacowany roczny przebieg na terenie Gminy Wyszogród</t>
  </si>
  <si>
    <t>KOŃCOWE ZUŻYCIE ENERGII [MWh] - rok bazowy 2016</t>
  </si>
  <si>
    <t>Emisja CO2 [Mg] - rok bazowy 2016</t>
  </si>
  <si>
    <t>Pozycja</t>
  </si>
  <si>
    <t>Moc systemu oświetleniowego przed modernizacją</t>
  </si>
  <si>
    <t>Redukcja mocy systemu w wyniku modernizacji</t>
  </si>
  <si>
    <t>Moc systemu oświetleniowego po modernizacji</t>
  </si>
  <si>
    <t>Czas świecenia w ciągu roku</t>
  </si>
  <si>
    <t>h</t>
  </si>
  <si>
    <t>Zużycie energii przed modernizacją</t>
  </si>
  <si>
    <t>Zużycie energii po modernizacji</t>
  </si>
  <si>
    <t>Liczba opraw do wymiany</t>
  </si>
  <si>
    <t>Oszczędność energii</t>
  </si>
  <si>
    <t>Wskaźnik emisyjności</t>
  </si>
  <si>
    <t>Uniknięta emisja</t>
  </si>
  <si>
    <t>Koszt inwestycji</t>
  </si>
  <si>
    <t>Moc Systemu</t>
  </si>
  <si>
    <t xml:space="preserve">Montaż instalacji OZE na/w budynkach użyteczności publicznej </t>
  </si>
  <si>
    <t>Prognoza na rok 2023 (w przypadku braku realizacji działań niskoemisyjnych)</t>
  </si>
  <si>
    <t>2023 - Prognoza</t>
  </si>
  <si>
    <t>Wykorzystanie energii elektrycznej (z wyłączeniem energii na cele cieplne) w roku 2023</t>
  </si>
  <si>
    <t>Rok 2023 - prognoza</t>
  </si>
  <si>
    <t>KOŃCOWE ZUŻYCIE ENERGII [MWh] - prognoza na rok 2023</t>
  </si>
  <si>
    <t>Emisja CO2 [Mg] - prognoza na rok 2023</t>
  </si>
  <si>
    <t>Prognoza na rok 2023 (po wdrożeniu działań zaplanowanych w PGN)</t>
  </si>
  <si>
    <t>Zbiorcze zapotrzebowanie na energię w roku 2023 r. [GJ]</t>
  </si>
  <si>
    <t>Wykorzystanie energii elektrycznej (z wyłączeniem energii na cele cieplne) w roku 2020</t>
  </si>
  <si>
    <t>Wartość w roku 2023 po wprowadzonych działaniach</t>
  </si>
  <si>
    <t>Rok 2020</t>
  </si>
  <si>
    <t>Prognoza na rok 2020 (po wdrożeniu działań zaplanowanych w PGN)</t>
  </si>
  <si>
    <t>Liczba budynków objętych wymianą źródła ciepła do roku 2020</t>
  </si>
  <si>
    <t>Sumaryczna moc instalacji na terenie gminy w 2020 roku</t>
  </si>
  <si>
    <t>Liczba nowych instalacji solarnych w roku 2020</t>
  </si>
  <si>
    <t>Ilość nowowybudowanych instalacji do 2020 roku</t>
  </si>
  <si>
    <t>Zużycie energii MWh</t>
  </si>
  <si>
    <t>Suma w roku 2023</t>
  </si>
  <si>
    <t>Suma w roku 2020</t>
  </si>
  <si>
    <t>do 2020 roku</t>
  </si>
  <si>
    <t>Prognoza na rok 2020 (w przypadku braku realizacji działań nisoemisyjnych)</t>
  </si>
  <si>
    <t>Wskaźnik rozwoju gospodarczego gminy Białobrzegi</t>
  </si>
  <si>
    <t>Imię i Nazwisko</t>
  </si>
  <si>
    <t>Adres</t>
  </si>
  <si>
    <t>nr tel</t>
  </si>
  <si>
    <t>Tytuł prawny budynku</t>
  </si>
  <si>
    <t>Typ budynku</t>
  </si>
  <si>
    <t>powierzchnia</t>
  </si>
  <si>
    <t>Aktualnie używany rodzaj paliwa</t>
  </si>
  <si>
    <t>Moc posiadanego kotła [KW]</t>
  </si>
  <si>
    <t>rok produkcji</t>
  </si>
  <si>
    <t>źródło ogrzewania ciepłej wody</t>
  </si>
  <si>
    <t>preferowane nowe źródło ciepła</t>
  </si>
  <si>
    <t>Przewidywany termin modernizacji źródła ciepła</t>
  </si>
  <si>
    <t>własność</t>
  </si>
  <si>
    <t>współwłasność</t>
  </si>
  <si>
    <t>użytkowanie</t>
  </si>
  <si>
    <t>jednorozinny</t>
  </si>
  <si>
    <t>drewno</t>
  </si>
  <si>
    <t>inne</t>
  </si>
  <si>
    <t>takie samo</t>
  </si>
  <si>
    <t>bojler elektryczny</t>
  </si>
  <si>
    <t>kocioł gazowy</t>
  </si>
  <si>
    <t>pelet</t>
  </si>
  <si>
    <t>elektryczne</t>
  </si>
  <si>
    <t>Dorota Bielinska</t>
  </si>
  <si>
    <t>Sucha ul.Piaskowa 2A</t>
  </si>
  <si>
    <t>Marcin Nowicki</t>
  </si>
  <si>
    <t>Białobrzegi Kościelna 93D</t>
  </si>
  <si>
    <t xml:space="preserve">Binias Barbara </t>
  </si>
  <si>
    <t>Sucha ul. Wąska 17</t>
  </si>
  <si>
    <t>Bogdan Pytka</t>
  </si>
  <si>
    <t>Białobrzegi ul. AK 38</t>
  </si>
  <si>
    <t>solary</t>
  </si>
  <si>
    <t>Marian Turek</t>
  </si>
  <si>
    <t>Białobrzegi ul. P Skargi 8</t>
  </si>
  <si>
    <t>gazowe</t>
  </si>
  <si>
    <t>Marek Poremiak</t>
  </si>
  <si>
    <t>Brzeźce ul. Główna 21</t>
  </si>
  <si>
    <t>Karolina Kozłowska</t>
  </si>
  <si>
    <t>Kolonia Brzeźce ul Ciepła</t>
  </si>
  <si>
    <t>Drariusz Krężęlok</t>
  </si>
  <si>
    <t>Białobrzegi ul P Skargi 7</t>
  </si>
  <si>
    <t>Krzysztof Więckowski</t>
  </si>
  <si>
    <t>Sucha ul Białobrzeska 8</t>
  </si>
  <si>
    <t>X</t>
  </si>
  <si>
    <t>ekogroszek</t>
  </si>
  <si>
    <t>Elżbieta Dyjas</t>
  </si>
  <si>
    <t>Sucha ul. Nowa 11</t>
  </si>
  <si>
    <t>Agnieszka Bul</t>
  </si>
  <si>
    <t>Szczyty 52</t>
  </si>
  <si>
    <t>Andrzej Matysiak</t>
  </si>
  <si>
    <t>Białobrzegi ul. Kościelna 5</t>
  </si>
  <si>
    <t>Katarzyna Kołomyjska</t>
  </si>
  <si>
    <t>Białobrzegi ul. Kościelna 14</t>
  </si>
  <si>
    <t>Sławomir Dryja</t>
  </si>
  <si>
    <t>Białobrzegi ul Mrochowskiego 15</t>
  </si>
  <si>
    <t>Edyta Mikita</t>
  </si>
  <si>
    <t>Białobrzegi ul. Piekarska 23</t>
  </si>
  <si>
    <t>`519122870</t>
  </si>
  <si>
    <t>Justyna Kowalczyk</t>
  </si>
  <si>
    <t>ul Łąkowa 1, Kolonia Brzeźce</t>
  </si>
  <si>
    <t>miał</t>
  </si>
  <si>
    <t>Łukasz Rosa</t>
  </si>
  <si>
    <t>Sucha, ul Nowa 1a</t>
  </si>
  <si>
    <t>Elżbieta Siedlecka</t>
  </si>
  <si>
    <t>Białobrzegi, ul J. Brzechwy 14</t>
  </si>
  <si>
    <t>Łukasz Jasik</t>
  </si>
  <si>
    <t>Białobrzegi, ul Jesionu 35</t>
  </si>
  <si>
    <t>Ewa Obrebowska</t>
  </si>
  <si>
    <t>Sucha, ul Leśna 22</t>
  </si>
  <si>
    <t>Katarzyna Pieniążek</t>
  </si>
  <si>
    <t>Brzeźce ul. Bociana 4</t>
  </si>
  <si>
    <t>Anna Kowalczyk</t>
  </si>
  <si>
    <t>Białobrzegi ul Kochanowskiego 61</t>
  </si>
  <si>
    <t>Sabina Gutkiewicz</t>
  </si>
  <si>
    <t>Żeromskiego 15</t>
  </si>
  <si>
    <t>Anna Bartnik</t>
  </si>
  <si>
    <t>Białobrzegi Piekarska 13</t>
  </si>
  <si>
    <t>Agnieszka Szybowicz</t>
  </si>
  <si>
    <t>Sucha ul Szlachecka 67B</t>
  </si>
  <si>
    <t>Bernadeta Grabowska</t>
  </si>
  <si>
    <t>Sucha ul Południowa 8</t>
  </si>
  <si>
    <t>Grażyna Chmielewsk</t>
  </si>
  <si>
    <t>Białobrzegi ul Reymonta 20</t>
  </si>
  <si>
    <t>Cezary Papaj</t>
  </si>
  <si>
    <t>Orzeszkowej 13</t>
  </si>
  <si>
    <t>Dariusz Jasik</t>
  </si>
  <si>
    <t>Jasionna 34A</t>
  </si>
  <si>
    <t>Anna Śniegucka</t>
  </si>
  <si>
    <t>Białobrzegi ul kościelna 95 A/9</t>
  </si>
  <si>
    <t>Izabela Sikora</t>
  </si>
  <si>
    <t>Sucha ul. Południowa 1</t>
  </si>
  <si>
    <t>Sucha ul. Szlachecka</t>
  </si>
  <si>
    <t>Krzysztof Stępień</t>
  </si>
  <si>
    <t>J. Brzechwy 40</t>
  </si>
  <si>
    <t>Czesław Lenartowicz</t>
  </si>
  <si>
    <t>ul. Targowicka 42</t>
  </si>
  <si>
    <t>Krystyna Czechowska</t>
  </si>
  <si>
    <t>ul. Mroczkowskiego 12</t>
  </si>
  <si>
    <t>Wiktor Konopka</t>
  </si>
  <si>
    <t>ul. P. Skargi</t>
  </si>
  <si>
    <t>Halina Grzybowska</t>
  </si>
  <si>
    <t>ul. Sądowa 43</t>
  </si>
  <si>
    <t>Andrzej Kaczmare</t>
  </si>
  <si>
    <t>ul. Brzozowa 3</t>
  </si>
  <si>
    <t>Wiesława Krzysztoszek</t>
  </si>
  <si>
    <t>ul. Leopoldów 4</t>
  </si>
  <si>
    <t>Mirosław Polesiak</t>
  </si>
  <si>
    <t>Kamień ul. Diamentowa 22</t>
  </si>
  <si>
    <t>Bożena Karasek</t>
  </si>
  <si>
    <t>ul. Czechowskiego 19</t>
  </si>
  <si>
    <t>Urszula Jastrzębska</t>
  </si>
  <si>
    <t>ul. Kościelna 67</t>
  </si>
  <si>
    <t>Wojciech Lipiński</t>
  </si>
  <si>
    <t>ul. Kościelna 74</t>
  </si>
  <si>
    <t>Cezary Nagrodzki</t>
  </si>
  <si>
    <t>Sucha ul. Szlachecka 106</t>
  </si>
  <si>
    <t>Bernadeta Mosiewicz</t>
  </si>
  <si>
    <t>ul. Kościelna 95a/5</t>
  </si>
  <si>
    <t>Henryka Rojek</t>
  </si>
  <si>
    <t>ul. Żeromskiego 56A</t>
  </si>
  <si>
    <t>Andrzej Marszal</t>
  </si>
  <si>
    <t>ul. Wąska 2</t>
  </si>
  <si>
    <t>Magdalena Gryz</t>
  </si>
  <si>
    <t>ul. Kościelna 95a/8</t>
  </si>
  <si>
    <t>Małgorzata Podsiadły</t>
  </si>
  <si>
    <t>ul Kościelna 95A/10</t>
  </si>
  <si>
    <t>Franciszek Owczarek</t>
  </si>
  <si>
    <t>ul. Kościelna 95A/2</t>
  </si>
  <si>
    <t>Anna i Marek Kolpaga</t>
  </si>
  <si>
    <t>ul. Kościelna 95A/7</t>
  </si>
  <si>
    <t>Magdalena Walczak</t>
  </si>
  <si>
    <t>ul. Kościelna 95A/11</t>
  </si>
  <si>
    <t>Maciej Barwicki</t>
  </si>
  <si>
    <t>ul. Brzechwy 10</t>
  </si>
  <si>
    <t>Jolanta Kłosiewicz</t>
  </si>
  <si>
    <t>ul. Polańska 54</t>
  </si>
  <si>
    <t>Paweł Jankowski</t>
  </si>
  <si>
    <t>ul. Cegielniana 9</t>
  </si>
  <si>
    <t>Jerzy Rzeczkowski</t>
  </si>
  <si>
    <t>ul. Sądowa 37</t>
  </si>
  <si>
    <t>Wiesław Gajda</t>
  </si>
  <si>
    <t>ul. Cegielniana 22</t>
  </si>
  <si>
    <t>Agnieszka Adamska</t>
  </si>
  <si>
    <t>ul. Jesionowa 1</t>
  </si>
  <si>
    <t>Zofia Zgiep</t>
  </si>
  <si>
    <t>ul. Łąkowa 5</t>
  </si>
  <si>
    <t>Alicja Szyderska</t>
  </si>
  <si>
    <t>ul. Świerkowa 5</t>
  </si>
  <si>
    <t>Mariusz Sulej</t>
  </si>
  <si>
    <t>ul. Białobrzeska 51</t>
  </si>
  <si>
    <t>Michał Wojciechowski</t>
  </si>
  <si>
    <t>ul. Kamińskiego 54</t>
  </si>
  <si>
    <t>Mariusz Cieślak</t>
  </si>
  <si>
    <t>ul. Świerkowa 3, Sucha</t>
  </si>
  <si>
    <t>Anna Boczek</t>
  </si>
  <si>
    <t>ul. Sportowa 5</t>
  </si>
  <si>
    <t>Teresa Szaruch</t>
  </si>
  <si>
    <t>ul. Sportowa 16</t>
  </si>
  <si>
    <t>Jerzy Pałczyński</t>
  </si>
  <si>
    <t>Brzeska Wola 26</t>
  </si>
  <si>
    <t>Hubert Ustymiuk</t>
  </si>
  <si>
    <t>Baczyńskiego 18</t>
  </si>
  <si>
    <t>Kościelna 55</t>
  </si>
  <si>
    <t>Andrzej Klejman</t>
  </si>
  <si>
    <t>ul. Ogrodowa 14</t>
  </si>
  <si>
    <t>Czesław Kacprzak</t>
  </si>
  <si>
    <t>ul. Świerkowa 9</t>
  </si>
  <si>
    <t>Mariusz Romanowski</t>
  </si>
  <si>
    <t>ul. Południowa 7, Sucha</t>
  </si>
  <si>
    <t>Konrad Sułkowski</t>
  </si>
  <si>
    <t>ul. Jodłowa 5</t>
  </si>
  <si>
    <t>Ewa Kilanowska</t>
  </si>
  <si>
    <t>ul. Sosnowa 5, Sucha</t>
  </si>
  <si>
    <t>Marcin Kacprzak</t>
  </si>
  <si>
    <t>Żeromskiego 32</t>
  </si>
  <si>
    <t>Maria Plesiewicz</t>
  </si>
  <si>
    <t>ul. Szlachecka 46</t>
  </si>
  <si>
    <t>Zofia Kosiec</t>
  </si>
  <si>
    <t>ul. Mroczkowskiego 8</t>
  </si>
  <si>
    <t>Aniela szymańska</t>
  </si>
  <si>
    <t>ul. Sądowa 33</t>
  </si>
  <si>
    <t>Czesław Krzciuk</t>
  </si>
  <si>
    <t>ul. Sądowa 35</t>
  </si>
  <si>
    <t>Danuta Jarząbek</t>
  </si>
  <si>
    <t>Sucha, ul. Nowa 12</t>
  </si>
  <si>
    <t>Stanisław Kwapis</t>
  </si>
  <si>
    <t>ul. Kościelna 60</t>
  </si>
  <si>
    <t>Tadeusz Makuszewski</t>
  </si>
  <si>
    <t>Polańska 59</t>
  </si>
  <si>
    <t>Andrzej Maj</t>
  </si>
  <si>
    <t>Sucha, ul. Sosnowa 11</t>
  </si>
  <si>
    <t>Zygmunt Kacprzak</t>
  </si>
  <si>
    <t>Sucha, ul. Sosnowa 7</t>
  </si>
  <si>
    <t>Teresa Lutek</t>
  </si>
  <si>
    <t>Kochanowskiego 5</t>
  </si>
  <si>
    <t>Ewa Szyller</t>
  </si>
  <si>
    <t>ul. Sądowa 16</t>
  </si>
  <si>
    <t>Jerzy Janiszewski</t>
  </si>
  <si>
    <t>Kolonia Brzeźce</t>
  </si>
  <si>
    <t>Andrzej Misterki</t>
  </si>
  <si>
    <t>ul. Cegielniana 25</t>
  </si>
  <si>
    <t>Ryszard Fołtyn</t>
  </si>
  <si>
    <t>Sucha, ul. Wąska 16</t>
  </si>
  <si>
    <t>Wiesław Bamachowicz</t>
  </si>
  <si>
    <t>Sucha, ul. Kasztanowa 9</t>
  </si>
  <si>
    <t>Stanisław Lewandowski</t>
  </si>
  <si>
    <t>ul. Piaskowa 5</t>
  </si>
  <si>
    <t>Szczepan Siek</t>
  </si>
  <si>
    <t>Jałowcowa 1</t>
  </si>
  <si>
    <t>Leopold Popiel</t>
  </si>
  <si>
    <t>ul. Krakowska 31</t>
  </si>
  <si>
    <t>Zofia Koral</t>
  </si>
  <si>
    <t>ul. Piaskowa 5a</t>
  </si>
  <si>
    <t>Anna Durasiewicz</t>
  </si>
  <si>
    <t>ul. Polańska 66</t>
  </si>
  <si>
    <t>Wojciech Wincewicz</t>
  </si>
  <si>
    <t>ul. Polańska 94</t>
  </si>
  <si>
    <t>Małgorzata Kamińska</t>
  </si>
  <si>
    <t>ul. Polańska 82</t>
  </si>
  <si>
    <t>Jolanta Piwowarczyk</t>
  </si>
  <si>
    <t>Mikówka 5</t>
  </si>
  <si>
    <t>Robert Matysiak</t>
  </si>
  <si>
    <t>Sucha, Białobrzeska 67</t>
  </si>
  <si>
    <t>Andrzej Babik</t>
  </si>
  <si>
    <t>ul. Sienkiewicza 22</t>
  </si>
  <si>
    <t>Ryszard Ślubowski</t>
  </si>
  <si>
    <t>Sucha, ul. Nowa 5</t>
  </si>
  <si>
    <t>Ewa Ficek</t>
  </si>
  <si>
    <t>ul. Krakowska 32</t>
  </si>
  <si>
    <t>Norbert Pocheć</t>
  </si>
  <si>
    <t>Sucha, ul. Białobrzeska 49</t>
  </si>
  <si>
    <t>Karol Krzesiński</t>
  </si>
  <si>
    <t>ul. Kościelna 6</t>
  </si>
  <si>
    <t>Małgorzata Jachowicz</t>
  </si>
  <si>
    <t>Brzeska Wola 56</t>
  </si>
  <si>
    <t>Agnieszka Chmielowska</t>
  </si>
  <si>
    <t>Armii Krajowej 7</t>
  </si>
  <si>
    <t>Zużycie energii na jednego mieszkańca powiatu białobrzeskiego wynosiło 707,6 KW</t>
  </si>
  <si>
    <t>Liczba pojazdów na terenie gminy Białobrzegi</t>
  </si>
  <si>
    <t>Publiczne Przedszkole nr 1 im. Jasia i Małgosi w Białobrzegach, 26-800 Białobrzegi, ul. Targowicka 1</t>
  </si>
  <si>
    <t>Sektor oświetlenia ulicznego Źródło: Dane przekazane przez Urząd Gminy i Miasta w Białobrzegach</t>
  </si>
  <si>
    <t>Biurowiec Zakładu Usług Komunalnych, ul. Rzemieślnicza 51,26-800 Białobrzegi</t>
  </si>
  <si>
    <t>Urząd Miasta i Gminy Białobrzegi, Plac Zygmunta Starego 9, 26-800 Białobrzegi</t>
  </si>
  <si>
    <t>Zaklad wodociągów i kanalizacji - Zakład budżetowy, ul. Rzemieślnicza 30, 26-800 Białobrzegi</t>
  </si>
  <si>
    <t xml:space="preserve">Gaz </t>
  </si>
  <si>
    <t>Łączny uzysk energii 2023 rok</t>
  </si>
  <si>
    <t>Łączny uzysk energii 2020 rok</t>
  </si>
  <si>
    <t>Łączny roczny uzysk energii 2023 rok</t>
  </si>
  <si>
    <t>Redukcja emisji CO2 2020 rok</t>
  </si>
  <si>
    <t>Redukcja emisji CO2 2023 rok</t>
  </si>
  <si>
    <t xml:space="preserve">Instalacje fotowoltaiczne na obiektach użyteczności publicznej </t>
  </si>
  <si>
    <t>SO2 [g / GJ]</t>
  </si>
  <si>
    <t>Nox [g / GJ]</t>
  </si>
  <si>
    <t>PM10 [g / GJ]</t>
  </si>
  <si>
    <t>PM2,5 [g / GJ]</t>
  </si>
  <si>
    <t>BaP [g / GJ]</t>
  </si>
  <si>
    <t>CO2 [g / GJ]</t>
  </si>
  <si>
    <t>CO [g / GJ]</t>
  </si>
  <si>
    <t>Ogrzewanie gazowe</t>
  </si>
  <si>
    <t>Ogrzewanie olejowe</t>
  </si>
  <si>
    <t>Ogrzewanie elektryczne</t>
  </si>
  <si>
    <t>Miejska sieć ciepłownicza</t>
  </si>
  <si>
    <t>Indywidualny piec C.O., Paliwo - Węgiel</t>
  </si>
  <si>
    <t>zasilanie ręczne kotły pozaklasowe</t>
  </si>
  <si>
    <t>zasilanie automatycznie kotły pozaklasowe</t>
  </si>
  <si>
    <t>zasilanie ręczne, kotły - klasa 3</t>
  </si>
  <si>
    <t>zasilanie ręczne, kotły - klasa 4</t>
  </si>
  <si>
    <t>zasilanie ręczne, kotły - klasa 5</t>
  </si>
  <si>
    <t>zasilanie ręczne, kotły - klasa Ecodesign</t>
  </si>
  <si>
    <t>zasilanie automatyczne kotły - klasa 3</t>
  </si>
  <si>
    <t>zasilanie automatyczne kotły - klasa 4</t>
  </si>
  <si>
    <t>zasilanie automatyczne kotły - klasa 5</t>
  </si>
  <si>
    <t>zasilanie automatyczne kotły - Ecodesign</t>
  </si>
  <si>
    <t>Indywidualny piec C.O., Paliwo - Biomasa/Drewno</t>
  </si>
  <si>
    <t>Piec kaflowy, Paliwo - Węgiel</t>
  </si>
  <si>
    <t>Sprawność cieplna poniżej 80 proc.</t>
  </si>
  <si>
    <t>Sprawność cieplna co najmniej 80 proc</t>
  </si>
  <si>
    <t>Wyposażony w urządzenie redukujące emisję</t>
  </si>
  <si>
    <t>Spełniający wymagania ekoprojektu</t>
  </si>
  <si>
    <t>Piec kaflowy, Paliwo - Biomasa/Drewno</t>
  </si>
  <si>
    <t>Koza (na drewno, węgiel), Paliwo - Węgiel</t>
  </si>
  <si>
    <t>Koza (na drewno, węgiel), Paliwo - Biomasa/Drewno</t>
  </si>
  <si>
    <t>Kominek, Paliwo - Węgiel</t>
  </si>
  <si>
    <t>Kominek, Paliwo - Biomasa/Drewno</t>
  </si>
  <si>
    <t>Trzon kuchenny, Paliwo - Węgiel</t>
  </si>
  <si>
    <t>Trzon kuchenny, Paliwo - Biomasa/Drewno</t>
  </si>
  <si>
    <t>Inne, Paliwo - Węgiel</t>
  </si>
  <si>
    <t>Inne, Paliwo - Biomasa/Drewno</t>
  </si>
  <si>
    <t>Rodzaj budynku</t>
  </si>
  <si>
    <t>Średnie zapotrzebowanie na ciepło [GJ / m2 * rok]</t>
  </si>
  <si>
    <t>jednolokalowy</t>
  </si>
  <si>
    <t>wielolokalowy</t>
  </si>
  <si>
    <t>Średnia powierzchnia użytkowa</t>
  </si>
  <si>
    <t>Zapotrzebowanie energetyczne budynków - ogrzewanie</t>
  </si>
  <si>
    <t>Wskaźnik NFOŚiGW</t>
  </si>
  <si>
    <t>Ilość obiektów objętych wymianą źródła ciepła</t>
  </si>
  <si>
    <t>Powierzchnia budynków objętych wymianą ciepła</t>
  </si>
  <si>
    <t>Średnie zapotrzebowanie na ciepło budynków objętych wymianą ciepła</t>
  </si>
  <si>
    <t>Sprawność kotłów pozaklasowych</t>
  </si>
  <si>
    <t>Sprawność kotłów klasa Ecodesign</t>
  </si>
  <si>
    <t>Zapotrzebowanie na ciepło przed wymianą kotłów</t>
  </si>
  <si>
    <t>Zapotrzebowanie na ciepło po wymianie kotłów</t>
  </si>
  <si>
    <t>Wskaźnik emisji dwutlenku węgla dla kotłów pozaklasowych</t>
  </si>
  <si>
    <t>Wskaźnik emisji PM10 dla kotłów pozaklasowych</t>
  </si>
  <si>
    <t>Mg PM10/GJ</t>
  </si>
  <si>
    <t>Wskaźnik emisji PM2.5 dla kotłów pozaklasowych</t>
  </si>
  <si>
    <t>PM2.5/GJ</t>
  </si>
  <si>
    <t>Emisja CO2 dla kotłów pozaklasowych</t>
  </si>
  <si>
    <t>Emisja PM10 dla kotłów pozaklasowych</t>
  </si>
  <si>
    <t>Mg PM10</t>
  </si>
  <si>
    <t xml:space="preserve">Emisja PM2.5 dla kotłów pozaklasowych </t>
  </si>
  <si>
    <t>Mg PM2.5</t>
  </si>
  <si>
    <t>Emisja BaP dla kotłów pozaklasowych</t>
  </si>
  <si>
    <t>Mg BaP</t>
  </si>
  <si>
    <t>Wskaźnik emisji CO2 dla kotłów zasilanych automatycznie, kotły - klasa Ecodesign</t>
  </si>
  <si>
    <t>Wskaźnik emisji PM10 dla kotłów zasilanych automatycznie, kotły - klasa Ecodesign</t>
  </si>
  <si>
    <t>Wskaźnik emisji PM2.5 dla kotłów zasilanych automatycznie, kotły - klasa Ecodesign</t>
  </si>
  <si>
    <t>Emisja CO2 dla kotłów 5 klasy</t>
  </si>
  <si>
    <t>Emisja PM10 dla kotłów 5 klasy</t>
  </si>
  <si>
    <t xml:space="preserve">Emisja PM2.5 dla kotłów 5 klasy </t>
  </si>
  <si>
    <t>Koszt wymiany 1 kotła</t>
  </si>
  <si>
    <t>Łączny koszt inwestycyjny</t>
  </si>
  <si>
    <t>Wymiana węglowych kotłów pozaklasowych na kotły węglowe zasilane automatycznie</t>
  </si>
  <si>
    <t xml:space="preserve">Uniknięta emisja CO2 - 2020 r. </t>
  </si>
  <si>
    <t xml:space="preserve">Uniknięta emisja CO2 - 2023 r. </t>
  </si>
  <si>
    <t>Uniknięta emisja PM10 - 2023 r.</t>
  </si>
  <si>
    <t xml:space="preserve">Uniknięta emisja PM2.5 - 2023 r. </t>
  </si>
  <si>
    <t xml:space="preserve">Oszczędność energii - 2023 r. </t>
  </si>
  <si>
    <t xml:space="preserve">uniknięta emisja PM10 - 2020 r. </t>
  </si>
  <si>
    <t xml:space="preserve">Uniknięta emisja PM2.5 - 2020 r. </t>
  </si>
  <si>
    <t xml:space="preserve">Oszczędność energii - 2020 r. </t>
  </si>
  <si>
    <t>Wymiana węglowych kotłów węglowych na kotły gazowe</t>
  </si>
  <si>
    <t>Wskaźnik emisji dla węgla</t>
  </si>
  <si>
    <t>Emisja CO2 dla kotłów węglowych</t>
  </si>
  <si>
    <t>Wskaźnik emisji dla kotłów gazowych</t>
  </si>
  <si>
    <t>Emisja CO2 dla kotłów gazowych</t>
  </si>
  <si>
    <t>Redukcja emisji do roku 2023</t>
  </si>
  <si>
    <t xml:space="preserve">Efekt redukcji emisji pyłu zawieszonego PM10 </t>
  </si>
  <si>
    <t>kg/m2/rok</t>
  </si>
  <si>
    <t>Mg/rok</t>
  </si>
  <si>
    <t>Redukcja zużycia energii -2023</t>
  </si>
  <si>
    <t>Efekt redukcji emisji pyłu zawieszonego PM2,5</t>
  </si>
  <si>
    <t xml:space="preserve">Redukcja emisji PM10 - 2023 </t>
  </si>
  <si>
    <t>Redukcja emisji PM2.5 - 2023</t>
  </si>
  <si>
    <t>Budowa ścieżek rowerowych</t>
  </si>
  <si>
    <t xml:space="preserve">Wymiana nieefektywnych kotłów na nowe zasilane automatycznie </t>
  </si>
  <si>
    <t>PM10/rok</t>
  </si>
  <si>
    <t>PM2.5/rok</t>
  </si>
  <si>
    <t>Redukcja zużycia energii finalnej - 2023</t>
  </si>
  <si>
    <t>Redukcja zużycia energii finalnej 2020'</t>
  </si>
  <si>
    <t>Zapotrzebowanie energetyczne budynków objętych wymianą ciepła</t>
  </si>
  <si>
    <t>Emisja PM10 dla kotłów pozaklasowych - 2023</t>
  </si>
  <si>
    <t>Emisja PM2.5 dla kotłów pozaklasowych -2023</t>
  </si>
  <si>
    <t>Emisja PM10 dla kotłów pozaklasowych - 2020</t>
  </si>
  <si>
    <t>Emisja PM2.5 dla kotłów pozaklasowych 2020</t>
  </si>
  <si>
    <t>Wymiana nieefektywnych kotłów na kotły biomasowe</t>
  </si>
  <si>
    <t xml:space="preserve">Koszt inwestycji </t>
  </si>
  <si>
    <t>zl</t>
  </si>
  <si>
    <t>Sprawność kotła przed wymiana</t>
  </si>
  <si>
    <t>Sprawność kotła po wymianie</t>
  </si>
  <si>
    <t>Zapotrzebowanie na ciepło przed wymianą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</si>
</sst>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0"/>
    <numFmt numFmtId="165" formatCode="0.000000"/>
    <numFmt numFmtId="166" formatCode="0.000"/>
    <numFmt numFmtId="167" formatCode="#,##0.0"/>
    <numFmt numFmtId="168" formatCode="_-* #,##0.000\ _z_ł_-;\-* #,##0.000\ _z_ł_-;_-* &quot;-&quot;??\ _z_ł_-;_-@_-"/>
    <numFmt numFmtId="169" formatCode="&quot; &quot;#,##0.000&quot;    &quot;;&quot;-&quot;#,##0.000&quot;    &quot;;&quot; -&quot;00&quot;    &quot;;&quot; &quot;@&quot; &quot;"/>
    <numFmt numFmtId="170" formatCode="_-* #,##0.00000\ _z_ł_-;\-* #,##0.00000\ _z_ł_-;_-* &quot;-&quot;??\ _z_ł_-;_-@_-"/>
    <numFmt numFmtId="171" formatCode="&quot; &quot;#,##0.00&quot;    &quot;;&quot;-&quot;#,##0.00&quot;    &quot;;&quot; -&quot;00&quot;    &quot;;&quot; &quot;@&quot; &quot;"/>
    <numFmt numFmtId="172" formatCode="0.0000"/>
    <numFmt numFmtId="173" formatCode="&quot; &quot;#,##0.000&quot;    &quot;;&quot;-&quot;#,##0.000&quot;    &quot;;&quot; -&quot;00.0&quot;    &quot;;&quot; &quot;@&quot; &quot;"/>
    <numFmt numFmtId="174" formatCode="&quot; &quot;#,##0.00&quot;    &quot;;&quot;-&quot;#,##0.00&quot;    &quot;;&quot; -&quot;00.0&quot;    &quot;;&quot; &quot;@&quot; &quot;"/>
    <numFmt numFmtId="175" formatCode="0.00000000000"/>
    <numFmt numFmtId="176" formatCode="_-* #,##0.0000\ _z_ł_-;\-* #,##0.0000\ _z_ł_-;_-* &quot;-&quot;??\ _z_ł_-;_-@_-"/>
    <numFmt numFmtId="177" formatCode="&quot; &quot;#,##0.0000&quot;    &quot;;&quot;-&quot;#,##0.0000&quot;    &quot;;&quot; -&quot;00.00&quot;    &quot;;&quot; &quot;@&quot; &quot;"/>
    <numFmt numFmtId="178" formatCode="_-* #,##0.00\ _z_ł_-;\-* #,##0.00\ _z_ł_-;_-* &quot;-&quot;???\ _z_ł_-;_-@_-"/>
    <numFmt numFmtId="179" formatCode="_-* #,##0.00\ _z_ł_-;\-* #,##0.00\ _z_ł_-;_-* &quot;-&quot;????\ _z_ł_-;_-@_-"/>
    <numFmt numFmtId="180" formatCode="0.00000000"/>
    <numFmt numFmtId="181" formatCode="_-* #,##0.000\ _z_ł_-;\-* #,##0.000\ _z_ł_-;_-* &quot;-&quot;???\ _z_ł_-;_-@_-"/>
    <numFmt numFmtId="182" formatCode="0.000000000"/>
    <numFmt numFmtId="183" formatCode="_-* #,##0.00000000\ _z_ł_-;\-* #,##0.00000000\ _z_ł_-;_-* &quot;-&quot;??\ _z_ł_-;_-@_-"/>
    <numFmt numFmtId="184" formatCode="_-* #,##0.0000\ _z_ł_-;\-* #,##0.0000\ _z_ł_-;_-* &quot;-&quot;???\ _z_ł_-;_-@_-"/>
  </numFmts>
  <fonts count="8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</font>
    <font>
      <b/>
      <sz val="9"/>
      <name val="Calibri"/>
      <family val="2"/>
      <charset val="238"/>
      <scheme val="minor"/>
    </font>
    <font>
      <b/>
      <sz val="9"/>
      <name val="Calibri Light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rgb="FF000000"/>
      <name val="Calibri Light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 Light"/>
      <family val="2"/>
      <charset val="238"/>
      <scheme val="major"/>
    </font>
    <font>
      <b/>
      <vertAlign val="subscript"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b/>
      <vertAlign val="subscript"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bscript"/>
      <sz val="12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2"/>
      <color indexed="9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vertAlign val="subscript"/>
      <sz val="11"/>
      <color rgb="FF000000"/>
      <name val="Calibri"/>
      <family val="2"/>
      <charset val="238"/>
    </font>
    <font>
      <b/>
      <sz val="10"/>
      <color theme="0"/>
      <name val="Calibri Light"/>
      <family val="2"/>
      <charset val="238"/>
    </font>
    <font>
      <b/>
      <vertAlign val="subscript"/>
      <sz val="10"/>
      <color theme="0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theme="0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b/>
      <sz val="11"/>
      <name val="Calibri Light"/>
      <family val="2"/>
      <charset val="238"/>
    </font>
    <font>
      <sz val="9"/>
      <color rgb="FF000000"/>
      <name val="Calibri Light"/>
      <family val="2"/>
      <charset val="238"/>
    </font>
    <font>
      <vertAlign val="subscript"/>
      <sz val="9"/>
      <color rgb="FF000000"/>
      <name val="Calibri Light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Czcionka tekstu podstawowego"/>
      <charset val="238"/>
    </font>
    <font>
      <b/>
      <sz val="14"/>
      <name val="Czcionka tekstu podstawowego"/>
      <charset val="238"/>
    </font>
    <font>
      <b/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zcionka tekstu podstawowego"/>
      <family val="2"/>
      <charset val="238"/>
    </font>
    <font>
      <b/>
      <sz val="11"/>
      <color rgb="FFFF0000"/>
      <name val="Calibri Light"/>
      <family val="2"/>
      <charset val="238"/>
    </font>
    <font>
      <b/>
      <sz val="10"/>
      <color rgb="FFFF0000"/>
      <name val="Calibri Light"/>
      <family val="2"/>
      <charset val="238"/>
    </font>
    <font>
      <sz val="10"/>
      <color rgb="FFFF0000"/>
      <name val="Calibri Light"/>
      <family val="2"/>
      <charset val="238"/>
    </font>
    <font>
      <b/>
      <sz val="11"/>
      <color rgb="FF000000"/>
      <name val="Calibri Light"/>
      <family val="2"/>
      <charset val="238"/>
    </font>
    <font>
      <sz val="11"/>
      <color rgb="FF000000"/>
      <name val="Calibri Light"/>
      <family val="2"/>
      <charset val="238"/>
    </font>
    <font>
      <sz val="11"/>
      <name val="Calibri Light"/>
      <family val="2"/>
      <charset val="238"/>
    </font>
    <font>
      <vertAlign val="superscript"/>
      <sz val="10"/>
      <color indexed="8"/>
      <name val="Calibri Light"/>
      <family val="2"/>
      <charset val="238"/>
    </font>
    <font>
      <vertAlign val="subscript"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1"/>
      <name val="Calibri"/>
      <family val="2"/>
      <charset val="238"/>
    </font>
    <font>
      <b/>
      <sz val="1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rgb="FFFF0000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9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rgb="FFBFBFBF"/>
      </patternFill>
    </fill>
    <fill>
      <patternFill patternType="solid">
        <fgColor theme="4"/>
        <bgColor rgb="FFA6A6A6"/>
      </patternFill>
    </fill>
    <fill>
      <patternFill patternType="solid">
        <fgColor theme="4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BDD6EE"/>
      </left>
      <right/>
      <top style="medium">
        <color rgb="FFBDD6EE"/>
      </top>
      <bottom style="thick">
        <color rgb="FF9CC2E5"/>
      </bottom>
      <diagonal/>
    </border>
    <border>
      <left/>
      <right/>
      <top style="medium">
        <color rgb="FFBDD6EE"/>
      </top>
      <bottom style="thick">
        <color rgb="FF9CC2E5"/>
      </bottom>
      <diagonal/>
    </border>
    <border>
      <left/>
      <right style="medium">
        <color rgb="FFBDD6EE"/>
      </right>
      <top style="medium">
        <color rgb="FFBDD6EE"/>
      </top>
      <bottom style="thick">
        <color rgb="FF9CC2E5"/>
      </bottom>
      <diagonal/>
    </border>
    <border>
      <left style="medium">
        <color rgb="FFBDD6EE"/>
      </left>
      <right style="medium">
        <color rgb="FFBDD6EE"/>
      </right>
      <top style="thick">
        <color rgb="FF9CC2E5"/>
      </top>
      <bottom/>
      <diagonal/>
    </border>
    <border>
      <left style="medium">
        <color rgb="FFBDD6EE"/>
      </left>
      <right style="medium">
        <color rgb="FFBDD6EE"/>
      </right>
      <top/>
      <bottom style="medium">
        <color rgb="FFBDD6EE"/>
      </bottom>
      <diagonal/>
    </border>
    <border>
      <left/>
      <right style="medium">
        <color rgb="FFBDD6EE"/>
      </right>
      <top/>
      <bottom style="medium">
        <color rgb="FFBDD6EE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0" fontId="1" fillId="0" borderId="0"/>
    <xf numFmtId="0" fontId="1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44" fontId="13" fillId="0" borderId="0" applyFont="0" applyFill="0" applyBorder="0" applyAlignment="0" applyProtection="0"/>
    <xf numFmtId="171" fontId="41" fillId="0" borderId="0" applyFont="0" applyFill="0" applyBorder="0" applyAlignment="0" applyProtection="0"/>
    <xf numFmtId="0" fontId="1" fillId="0" borderId="0"/>
    <xf numFmtId="0" fontId="13" fillId="0" borderId="0"/>
    <xf numFmtId="0" fontId="6" fillId="0" borderId="0"/>
    <xf numFmtId="0" fontId="1" fillId="0" borderId="0"/>
  </cellStyleXfs>
  <cellXfs count="927">
    <xf numFmtId="0" fontId="0" fillId="0" borderId="0" xfId="0"/>
    <xf numFmtId="0" fontId="1" fillId="0" borderId="0" xfId="2"/>
    <xf numFmtId="0" fontId="5" fillId="3" borderId="0" xfId="2" applyFont="1" applyFill="1" applyBorder="1"/>
    <xf numFmtId="0" fontId="12" fillId="3" borderId="0" xfId="2" applyFont="1" applyFill="1" applyAlignment="1">
      <alignment vertical="center"/>
    </xf>
    <xf numFmtId="0" fontId="1" fillId="3" borderId="0" xfId="2" applyFont="1" applyFill="1" applyAlignment="1">
      <alignment vertical="center"/>
    </xf>
    <xf numFmtId="0" fontId="5" fillId="3" borderId="0" xfId="2" applyFont="1" applyFill="1" applyBorder="1" applyAlignment="1">
      <alignment vertical="center"/>
    </xf>
    <xf numFmtId="3" fontId="14" fillId="3" borderId="5" xfId="4" applyNumberFormat="1" applyFont="1" applyFill="1" applyBorder="1" applyAlignment="1">
      <alignment horizontal="center" vertical="center"/>
    </xf>
    <xf numFmtId="1" fontId="14" fillId="3" borderId="6" xfId="4" applyNumberFormat="1" applyFont="1" applyFill="1" applyBorder="1" applyAlignment="1">
      <alignment horizontal="center" vertical="center" wrapText="1"/>
    </xf>
    <xf numFmtId="1" fontId="14" fillId="3" borderId="7" xfId="4" applyNumberFormat="1" applyFont="1" applyFill="1" applyBorder="1" applyAlignment="1">
      <alignment horizontal="center" vertical="center" wrapText="1"/>
    </xf>
    <xf numFmtId="1" fontId="14" fillId="3" borderId="8" xfId="4" applyNumberFormat="1" applyFont="1" applyFill="1" applyBorder="1" applyAlignment="1">
      <alignment horizontal="center" vertical="center" wrapText="1"/>
    </xf>
    <xf numFmtId="1" fontId="14" fillId="3" borderId="9" xfId="4" applyNumberFormat="1" applyFont="1" applyFill="1" applyBorder="1" applyAlignment="1">
      <alignment horizontal="center" vertical="center" wrapText="1"/>
    </xf>
    <xf numFmtId="1" fontId="16" fillId="3" borderId="11" xfId="4" applyNumberFormat="1" applyFont="1" applyFill="1" applyBorder="1" applyAlignment="1">
      <alignment horizontal="center" vertical="center" wrapText="1"/>
    </xf>
    <xf numFmtId="3" fontId="14" fillId="3" borderId="14" xfId="4" applyNumberFormat="1" applyFont="1" applyFill="1" applyBorder="1" applyAlignment="1">
      <alignment horizontal="center" vertical="center" wrapText="1"/>
    </xf>
    <xf numFmtId="3" fontId="14" fillId="3" borderId="15" xfId="2" applyNumberFormat="1" applyFont="1" applyFill="1" applyBorder="1" applyAlignment="1">
      <alignment horizontal="center" vertical="center" wrapText="1"/>
    </xf>
    <xf numFmtId="3" fontId="14" fillId="3" borderId="16" xfId="2" applyNumberFormat="1" applyFont="1" applyFill="1" applyBorder="1" applyAlignment="1">
      <alignment horizontal="center" vertical="center" wrapText="1"/>
    </xf>
    <xf numFmtId="3" fontId="14" fillId="3" borderId="17" xfId="2" applyNumberFormat="1" applyFont="1" applyFill="1" applyBorder="1" applyAlignment="1">
      <alignment horizontal="center" vertical="center" wrapText="1"/>
    </xf>
    <xf numFmtId="3" fontId="17" fillId="3" borderId="16" xfId="4" applyNumberFormat="1" applyFont="1" applyFill="1" applyBorder="1" applyAlignment="1">
      <alignment horizontal="center" vertical="center" wrapText="1"/>
    </xf>
    <xf numFmtId="0" fontId="1" fillId="0" borderId="0" xfId="2" applyBorder="1"/>
    <xf numFmtId="167" fontId="14" fillId="3" borderId="15" xfId="2" applyNumberFormat="1" applyFont="1" applyFill="1" applyBorder="1" applyAlignment="1">
      <alignment horizontal="center" vertical="center" wrapText="1"/>
    </xf>
    <xf numFmtId="167" fontId="14" fillId="3" borderId="16" xfId="2" applyNumberFormat="1" applyFont="1" applyFill="1" applyBorder="1" applyAlignment="1">
      <alignment horizontal="center" vertical="center" wrapText="1"/>
    </xf>
    <xf numFmtId="10" fontId="4" fillId="0" borderId="2" xfId="2" applyNumberFormat="1" applyFont="1" applyBorder="1" applyAlignment="1"/>
    <xf numFmtId="0" fontId="4" fillId="0" borderId="4" xfId="2" applyFont="1" applyBorder="1" applyAlignment="1"/>
    <xf numFmtId="0" fontId="4" fillId="0" borderId="3" xfId="2" applyFont="1" applyBorder="1" applyAlignment="1"/>
    <xf numFmtId="0" fontId="13" fillId="0" borderId="0" xfId="6"/>
    <xf numFmtId="0" fontId="13" fillId="3" borderId="0" xfId="6" applyFill="1" applyBorder="1"/>
    <xf numFmtId="0" fontId="21" fillId="3" borderId="0" xfId="6" applyFont="1" applyFill="1" applyBorder="1" applyAlignment="1">
      <alignment horizontal="center" vertical="center"/>
    </xf>
    <xf numFmtId="0" fontId="25" fillId="3" borderId="0" xfId="6" applyFont="1" applyFill="1" applyAlignment="1">
      <alignment vertical="center"/>
    </xf>
    <xf numFmtId="0" fontId="1" fillId="3" borderId="0" xfId="6" applyFont="1" applyFill="1" applyAlignment="1">
      <alignment vertical="center"/>
    </xf>
    <xf numFmtId="0" fontId="18" fillId="2" borderId="2" xfId="6" applyFont="1" applyFill="1" applyBorder="1" applyAlignment="1">
      <alignment vertical="center"/>
    </xf>
    <xf numFmtId="0" fontId="25" fillId="2" borderId="4" xfId="6" applyFont="1" applyFill="1" applyBorder="1" applyAlignment="1">
      <alignment vertical="center"/>
    </xf>
    <xf numFmtId="0" fontId="4" fillId="0" borderId="0" xfId="6" applyFont="1" applyFill="1" applyBorder="1" applyAlignment="1">
      <alignment horizontal="center" wrapText="1"/>
    </xf>
    <xf numFmtId="0" fontId="4" fillId="3" borderId="0" xfId="6" applyFont="1" applyFill="1" applyBorder="1" applyAlignment="1">
      <alignment horizontal="center" vertical="center"/>
    </xf>
    <xf numFmtId="10" fontId="4" fillId="3" borderId="32" xfId="5" applyNumberFormat="1" applyFont="1" applyFill="1" applyBorder="1" applyAlignment="1">
      <alignment horizontal="center" vertical="center" wrapText="1"/>
    </xf>
    <xf numFmtId="10" fontId="1" fillId="3" borderId="1" xfId="5" applyNumberFormat="1" applyFont="1" applyFill="1" applyBorder="1" applyAlignment="1">
      <alignment horizontal="center"/>
    </xf>
    <xf numFmtId="43" fontId="1" fillId="0" borderId="0" xfId="6" applyNumberFormat="1" applyFont="1" applyFill="1" applyBorder="1" applyAlignment="1">
      <alignment horizontal="center"/>
    </xf>
    <xf numFmtId="168" fontId="1" fillId="0" borderId="0" xfId="6" applyNumberFormat="1" applyFont="1" applyFill="1" applyBorder="1" applyAlignment="1">
      <alignment horizontal="center"/>
    </xf>
    <xf numFmtId="43" fontId="1" fillId="3" borderId="0" xfId="6" applyNumberFormat="1" applyFont="1" applyFill="1" applyBorder="1" applyAlignment="1">
      <alignment horizontal="center"/>
    </xf>
    <xf numFmtId="0" fontId="1" fillId="3" borderId="0" xfId="6" applyFont="1" applyFill="1" applyBorder="1" applyAlignment="1">
      <alignment vertical="center"/>
    </xf>
    <xf numFmtId="10" fontId="4" fillId="3" borderId="33" xfId="5" applyNumberFormat="1" applyFont="1" applyFill="1" applyBorder="1" applyAlignment="1">
      <alignment horizontal="center" vertical="center" wrapText="1"/>
    </xf>
    <xf numFmtId="10" fontId="1" fillId="3" borderId="34" xfId="5" applyNumberFormat="1" applyFont="1" applyFill="1" applyBorder="1" applyAlignment="1">
      <alignment horizontal="center"/>
    </xf>
    <xf numFmtId="10" fontId="4" fillId="3" borderId="15" xfId="5" applyNumberFormat="1" applyFont="1" applyFill="1" applyBorder="1" applyAlignment="1">
      <alignment horizontal="center" vertical="center" wrapText="1"/>
    </xf>
    <xf numFmtId="10" fontId="1" fillId="3" borderId="16" xfId="5" applyNumberFormat="1" applyFont="1" applyFill="1" applyBorder="1" applyAlignment="1">
      <alignment horizontal="center"/>
    </xf>
    <xf numFmtId="0" fontId="1" fillId="3" borderId="0" xfId="6" applyFont="1" applyFill="1"/>
    <xf numFmtId="43" fontId="4" fillId="0" borderId="0" xfId="6" applyNumberFormat="1" applyFont="1" applyFill="1" applyBorder="1" applyAlignment="1">
      <alignment horizontal="center" vertical="center"/>
    </xf>
    <xf numFmtId="0" fontId="26" fillId="2" borderId="36" xfId="6" applyFont="1" applyFill="1" applyBorder="1" applyAlignment="1">
      <alignment horizontal="center" vertical="center"/>
    </xf>
    <xf numFmtId="0" fontId="4" fillId="2" borderId="7" xfId="6" applyFont="1" applyFill="1" applyBorder="1" applyAlignment="1">
      <alignment horizontal="center" vertical="center" wrapText="1"/>
    </xf>
    <xf numFmtId="0" fontId="4" fillId="2" borderId="7" xfId="6" applyFont="1" applyFill="1" applyBorder="1" applyAlignment="1">
      <alignment horizontal="center" wrapText="1"/>
    </xf>
    <xf numFmtId="0" fontId="4" fillId="2" borderId="9" xfId="6" applyFont="1" applyFill="1" applyBorder="1" applyAlignment="1">
      <alignment horizontal="center" vertical="center"/>
    </xf>
    <xf numFmtId="10" fontId="4" fillId="2" borderId="32" xfId="6" applyNumberFormat="1" applyFont="1" applyFill="1" applyBorder="1" applyAlignment="1">
      <alignment horizontal="center" vertical="center"/>
    </xf>
    <xf numFmtId="43" fontId="1" fillId="0" borderId="1" xfId="6" applyNumberFormat="1" applyFont="1" applyFill="1" applyBorder="1" applyAlignment="1">
      <alignment horizontal="center"/>
    </xf>
    <xf numFmtId="43" fontId="1" fillId="0" borderId="38" xfId="6" applyNumberFormat="1" applyFont="1" applyFill="1" applyBorder="1" applyAlignment="1">
      <alignment horizontal="center"/>
    </xf>
    <xf numFmtId="0" fontId="29" fillId="5" borderId="39" xfId="6" applyFont="1" applyFill="1" applyBorder="1" applyAlignment="1">
      <alignment horizontal="left" vertical="center" wrapText="1"/>
    </xf>
    <xf numFmtId="10" fontId="4" fillId="2" borderId="39" xfId="6" applyNumberFormat="1" applyFont="1" applyFill="1" applyBorder="1" applyAlignment="1">
      <alignment horizontal="center" vertical="center" wrapText="1"/>
    </xf>
    <xf numFmtId="43" fontId="1" fillId="0" borderId="41" xfId="6" applyNumberFormat="1" applyFont="1" applyFill="1" applyBorder="1" applyAlignment="1">
      <alignment horizontal="center"/>
    </xf>
    <xf numFmtId="170" fontId="1" fillId="0" borderId="41" xfId="6" applyNumberFormat="1" applyFont="1" applyFill="1" applyBorder="1" applyAlignment="1">
      <alignment horizontal="center"/>
    </xf>
    <xf numFmtId="0" fontId="29" fillId="5" borderId="15" xfId="6" applyFont="1" applyFill="1" applyBorder="1" applyAlignment="1">
      <alignment horizontal="left" vertical="center" wrapText="1"/>
    </xf>
    <xf numFmtId="10" fontId="4" fillId="2" borderId="32" xfId="6" applyNumberFormat="1" applyFont="1" applyFill="1" applyBorder="1" applyAlignment="1">
      <alignment horizontal="center" vertical="center" wrapText="1"/>
    </xf>
    <xf numFmtId="10" fontId="4" fillId="2" borderId="42" xfId="6" applyNumberFormat="1" applyFont="1" applyFill="1" applyBorder="1" applyAlignment="1">
      <alignment horizontal="center" vertical="center" wrapText="1"/>
    </xf>
    <xf numFmtId="43" fontId="1" fillId="0" borderId="31" xfId="6" applyNumberFormat="1" applyFont="1" applyFill="1" applyBorder="1" applyAlignment="1">
      <alignment horizontal="center"/>
    </xf>
    <xf numFmtId="43" fontId="4" fillId="2" borderId="35" xfId="6" applyNumberFormat="1" applyFont="1" applyFill="1" applyBorder="1" applyAlignment="1">
      <alignment horizontal="center" vertical="center"/>
    </xf>
    <xf numFmtId="43" fontId="4" fillId="0" borderId="43" xfId="6" applyNumberFormat="1" applyFont="1" applyFill="1" applyBorder="1" applyAlignment="1">
      <alignment horizontal="center" vertical="center"/>
    </xf>
    <xf numFmtId="0" fontId="1" fillId="0" borderId="0" xfId="6" applyFont="1" applyFill="1" applyAlignment="1">
      <alignment horizontal="center"/>
    </xf>
    <xf numFmtId="43" fontId="4" fillId="0" borderId="35" xfId="6" applyNumberFormat="1" applyFont="1" applyFill="1" applyBorder="1" applyAlignment="1">
      <alignment horizontal="center" vertical="center"/>
    </xf>
    <xf numFmtId="10" fontId="1" fillId="3" borderId="0" xfId="6" applyNumberFormat="1" applyFont="1" applyFill="1" applyAlignment="1">
      <alignment vertical="center"/>
    </xf>
    <xf numFmtId="43" fontId="1" fillId="3" borderId="41" xfId="6" applyNumberFormat="1" applyFont="1" applyFill="1" applyBorder="1" applyAlignment="1">
      <alignment horizontal="center"/>
    </xf>
    <xf numFmtId="170" fontId="1" fillId="3" borderId="41" xfId="6" applyNumberFormat="1" applyFont="1" applyFill="1" applyBorder="1" applyAlignment="1">
      <alignment horizontal="center"/>
    </xf>
    <xf numFmtId="43" fontId="1" fillId="3" borderId="38" xfId="6" applyNumberFormat="1" applyFont="1" applyFill="1" applyBorder="1" applyAlignment="1">
      <alignment horizontal="center"/>
    </xf>
    <xf numFmtId="43" fontId="1" fillId="3" borderId="31" xfId="6" applyNumberFormat="1" applyFont="1" applyFill="1" applyBorder="1" applyAlignment="1">
      <alignment horizontal="center"/>
    </xf>
    <xf numFmtId="170" fontId="1" fillId="3" borderId="31" xfId="6" applyNumberFormat="1" applyFont="1" applyFill="1" applyBorder="1" applyAlignment="1">
      <alignment horizontal="center"/>
    </xf>
    <xf numFmtId="43" fontId="4" fillId="3" borderId="43" xfId="6" applyNumberFormat="1" applyFont="1" applyFill="1" applyBorder="1" applyAlignment="1">
      <alignment horizontal="center" vertical="center"/>
    </xf>
    <xf numFmtId="0" fontId="1" fillId="3" borderId="0" xfId="6" applyFont="1" applyFill="1" applyAlignment="1">
      <alignment horizontal="center"/>
    </xf>
    <xf numFmtId="43" fontId="4" fillId="3" borderId="35" xfId="6" applyNumberFormat="1" applyFont="1" applyFill="1" applyBorder="1" applyAlignment="1">
      <alignment horizontal="center" vertical="center"/>
    </xf>
    <xf numFmtId="0" fontId="3" fillId="0" borderId="0" xfId="6" applyFont="1" applyFill="1" applyAlignment="1">
      <alignment vertical="center"/>
    </xf>
    <xf numFmtId="10" fontId="3" fillId="0" borderId="0" xfId="6" applyNumberFormat="1" applyFont="1" applyFill="1" applyAlignment="1">
      <alignment vertical="center"/>
    </xf>
    <xf numFmtId="43" fontId="30" fillId="0" borderId="0" xfId="6" applyNumberFormat="1" applyFont="1" applyFill="1" applyBorder="1" applyAlignment="1">
      <alignment horizontal="center" vertical="center"/>
    </xf>
    <xf numFmtId="43" fontId="4" fillId="3" borderId="0" xfId="6" applyNumberFormat="1" applyFont="1" applyFill="1" applyBorder="1" applyAlignment="1">
      <alignment horizontal="center" vertical="center"/>
    </xf>
    <xf numFmtId="0" fontId="4" fillId="2" borderId="44" xfId="6" applyFont="1" applyFill="1" applyBorder="1" applyAlignment="1">
      <alignment vertical="center"/>
    </xf>
    <xf numFmtId="0" fontId="4" fillId="2" borderId="41" xfId="6" applyFont="1" applyFill="1" applyBorder="1" applyAlignment="1">
      <alignment vertical="center"/>
    </xf>
    <xf numFmtId="0" fontId="4" fillId="2" borderId="41" xfId="6" applyFont="1" applyFill="1" applyBorder="1" applyAlignment="1">
      <alignment vertical="center" wrapText="1"/>
    </xf>
    <xf numFmtId="0" fontId="31" fillId="2" borderId="41" xfId="6" applyFont="1" applyFill="1" applyBorder="1" applyAlignment="1">
      <alignment vertical="center" wrapText="1"/>
    </xf>
    <xf numFmtId="2" fontId="1" fillId="3" borderId="41" xfId="6" applyNumberFormat="1" applyFont="1" applyFill="1" applyBorder="1" applyAlignment="1">
      <alignment horizontal="center" vertical="center"/>
    </xf>
    <xf numFmtId="0" fontId="25" fillId="3" borderId="0" xfId="6" applyFont="1" applyFill="1" applyBorder="1" applyAlignment="1">
      <alignment vertical="center"/>
    </xf>
    <xf numFmtId="0" fontId="26" fillId="3" borderId="0" xfId="6" applyFont="1" applyFill="1" applyBorder="1" applyAlignment="1">
      <alignment horizontal="center" vertical="center"/>
    </xf>
    <xf numFmtId="0" fontId="4" fillId="3" borderId="0" xfId="6" applyFont="1" applyFill="1" applyBorder="1" applyAlignment="1">
      <alignment horizontal="center" wrapText="1"/>
    </xf>
    <xf numFmtId="2" fontId="27" fillId="3" borderId="0" xfId="6" applyNumberFormat="1" applyFont="1" applyFill="1" applyBorder="1" applyAlignment="1">
      <alignment horizontal="center" vertical="center"/>
    </xf>
    <xf numFmtId="2" fontId="32" fillId="3" borderId="0" xfId="6" applyNumberFormat="1" applyFont="1" applyFill="1" applyBorder="1" applyAlignment="1">
      <alignment vertical="center"/>
    </xf>
    <xf numFmtId="10" fontId="1" fillId="3" borderId="0" xfId="6" applyNumberFormat="1" applyFont="1" applyFill="1" applyBorder="1" applyAlignment="1">
      <alignment vertical="center"/>
    </xf>
    <xf numFmtId="0" fontId="1" fillId="3" borderId="0" xfId="6" applyFont="1" applyFill="1" applyBorder="1" applyAlignment="1">
      <alignment horizontal="center"/>
    </xf>
    <xf numFmtId="172" fontId="1" fillId="3" borderId="0" xfId="6" applyNumberFormat="1" applyFont="1" applyFill="1" applyAlignment="1">
      <alignment vertical="center"/>
    </xf>
    <xf numFmtId="3" fontId="1" fillId="3" borderId="0" xfId="6" applyNumberFormat="1" applyFont="1" applyFill="1" applyAlignment="1">
      <alignment vertical="center"/>
    </xf>
    <xf numFmtId="0" fontId="4" fillId="2" borderId="11" xfId="6" applyFont="1" applyFill="1" applyBorder="1" applyAlignment="1">
      <alignment horizontal="center" vertical="center" wrapText="1"/>
    </xf>
    <xf numFmtId="0" fontId="4" fillId="2" borderId="12" xfId="6" applyFont="1" applyFill="1" applyBorder="1" applyAlignment="1">
      <alignment horizontal="center" vertical="center" wrapText="1"/>
    </xf>
    <xf numFmtId="0" fontId="1" fillId="0" borderId="41" xfId="6" applyFont="1" applyFill="1" applyBorder="1" applyAlignment="1">
      <alignment horizontal="center" vertical="center"/>
    </xf>
    <xf numFmtId="0" fontId="1" fillId="0" borderId="41" xfId="6" applyFont="1" applyFill="1" applyBorder="1" applyAlignment="1">
      <alignment horizontal="center" vertical="center" wrapText="1"/>
    </xf>
    <xf numFmtId="0" fontId="36" fillId="6" borderId="0" xfId="6" applyFont="1" applyFill="1" applyAlignment="1">
      <alignment horizontal="center"/>
    </xf>
    <xf numFmtId="2" fontId="36" fillId="6" borderId="0" xfId="6" applyNumberFormat="1" applyFont="1" applyFill="1"/>
    <xf numFmtId="169" fontId="36" fillId="6" borderId="0" xfId="6" applyNumberFormat="1" applyFont="1" applyFill="1"/>
    <xf numFmtId="0" fontId="37" fillId="6" borderId="0" xfId="6" applyFont="1" applyFill="1"/>
    <xf numFmtId="171" fontId="37" fillId="4" borderId="54" xfId="4" applyNumberFormat="1" applyFont="1" applyFill="1" applyBorder="1" applyAlignment="1">
      <alignment horizontal="center" vertical="center"/>
    </xf>
    <xf numFmtId="171" fontId="36" fillId="5" borderId="57" xfId="4" applyNumberFormat="1" applyFont="1" applyFill="1" applyBorder="1" applyAlignment="1">
      <alignment horizontal="center" vertical="center"/>
    </xf>
    <xf numFmtId="171" fontId="37" fillId="0" borderId="0" xfId="4" applyNumberFormat="1" applyFont="1" applyFill="1" applyBorder="1" applyAlignment="1">
      <alignment horizontal="center" vertical="center"/>
    </xf>
    <xf numFmtId="173" fontId="37" fillId="0" borderId="0" xfId="4" applyNumberFormat="1" applyFont="1" applyFill="1" applyBorder="1" applyAlignment="1">
      <alignment horizontal="center" vertical="center"/>
    </xf>
    <xf numFmtId="0" fontId="1" fillId="3" borderId="0" xfId="6" applyNumberFormat="1" applyFont="1" applyFill="1" applyAlignment="1">
      <alignment vertical="center"/>
    </xf>
    <xf numFmtId="0" fontId="1" fillId="3" borderId="0" xfId="6" applyFont="1" applyFill="1" applyAlignment="1">
      <alignment horizontal="center" vertical="center"/>
    </xf>
    <xf numFmtId="0" fontId="1" fillId="3" borderId="0" xfId="6" applyNumberFormat="1" applyFont="1" applyFill="1" applyAlignment="1">
      <alignment horizontal="center" vertical="center"/>
    </xf>
    <xf numFmtId="2" fontId="1" fillId="3" borderId="0" xfId="6" applyNumberFormat="1" applyFont="1" applyFill="1" applyAlignment="1">
      <alignment vertical="center"/>
    </xf>
    <xf numFmtId="4" fontId="1" fillId="3" borderId="0" xfId="6" applyNumberFormat="1" applyFont="1" applyFill="1" applyAlignment="1">
      <alignment vertical="center"/>
    </xf>
    <xf numFmtId="0" fontId="38" fillId="3" borderId="0" xfId="3" applyFont="1" applyFill="1" applyBorder="1" applyAlignment="1">
      <alignment horizontal="center"/>
    </xf>
    <xf numFmtId="0" fontId="42" fillId="3" borderId="0" xfId="2" applyFont="1" applyFill="1"/>
    <xf numFmtId="3" fontId="31" fillId="2" borderId="29" xfId="3" applyNumberFormat="1" applyFont="1" applyFill="1" applyBorder="1" applyAlignment="1" applyProtection="1">
      <alignment horizontal="center"/>
      <protection locked="0"/>
    </xf>
    <xf numFmtId="4" fontId="31" fillId="2" borderId="59" xfId="3" applyNumberFormat="1" applyFont="1" applyFill="1" applyBorder="1" applyAlignment="1">
      <alignment horizontal="center"/>
    </xf>
    <xf numFmtId="0" fontId="43" fillId="3" borderId="0" xfId="2" applyFont="1" applyFill="1"/>
    <xf numFmtId="4" fontId="31" fillId="2" borderId="35" xfId="3" applyNumberFormat="1" applyFont="1" applyFill="1" applyBorder="1" applyAlignment="1">
      <alignment horizontal="center"/>
    </xf>
    <xf numFmtId="0" fontId="29" fillId="2" borderId="58" xfId="6" applyFont="1" applyFill="1" applyBorder="1" applyAlignment="1">
      <alignment horizontal="center" vertical="center" wrapText="1"/>
    </xf>
    <xf numFmtId="0" fontId="44" fillId="3" borderId="41" xfId="6" applyFont="1" applyFill="1" applyBorder="1" applyAlignment="1">
      <alignment horizontal="center" vertical="center"/>
    </xf>
    <xf numFmtId="2" fontId="1" fillId="3" borderId="0" xfId="6" applyNumberFormat="1" applyFont="1" applyFill="1" applyAlignment="1">
      <alignment horizontal="center" vertical="center"/>
    </xf>
    <xf numFmtId="0" fontId="45" fillId="3" borderId="0" xfId="6" applyFont="1" applyFill="1" applyAlignment="1">
      <alignment vertical="center"/>
    </xf>
    <xf numFmtId="3" fontId="7" fillId="2" borderId="35" xfId="3" applyNumberFormat="1" applyFont="1" applyFill="1" applyBorder="1" applyAlignment="1" applyProtection="1">
      <alignment horizontal="center"/>
      <protection locked="0"/>
    </xf>
    <xf numFmtId="4" fontId="7" fillId="2" borderId="59" xfId="3" applyNumberFormat="1" applyFont="1" applyFill="1" applyBorder="1" applyAlignment="1">
      <alignment horizontal="center"/>
    </xf>
    <xf numFmtId="4" fontId="7" fillId="3" borderId="0" xfId="3" applyNumberFormat="1" applyFont="1" applyFill="1" applyBorder="1" applyAlignment="1">
      <alignment horizontal="center"/>
    </xf>
    <xf numFmtId="4" fontId="7" fillId="2" borderId="35" xfId="3" applyNumberFormat="1" applyFont="1" applyFill="1" applyBorder="1" applyAlignment="1">
      <alignment horizontal="center"/>
    </xf>
    <xf numFmtId="4" fontId="7" fillId="3" borderId="45" xfId="3" applyNumberFormat="1" applyFont="1" applyFill="1" applyBorder="1" applyAlignment="1">
      <alignment horizontal="center"/>
    </xf>
    <xf numFmtId="0" fontId="4" fillId="2" borderId="41" xfId="10" applyFont="1" applyFill="1" applyBorder="1" applyAlignment="1">
      <alignment horizontal="center" vertical="center" wrapText="1"/>
    </xf>
    <xf numFmtId="0" fontId="4" fillId="2" borderId="41" xfId="10" applyFont="1" applyFill="1" applyBorder="1" applyAlignment="1">
      <alignment horizontal="center" wrapText="1"/>
    </xf>
    <xf numFmtId="0" fontId="4" fillId="2" borderId="41" xfId="10" applyFont="1" applyFill="1" applyBorder="1" applyAlignment="1">
      <alignment horizontal="center" vertical="center"/>
    </xf>
    <xf numFmtId="0" fontId="1" fillId="0" borderId="0" xfId="10"/>
    <xf numFmtId="0" fontId="1" fillId="0" borderId="41" xfId="10" applyBorder="1" applyAlignment="1">
      <alignment horizontal="center"/>
    </xf>
    <xf numFmtId="4" fontId="1" fillId="0" borderId="41" xfId="10" applyNumberFormat="1" applyBorder="1" applyAlignment="1">
      <alignment horizontal="center"/>
    </xf>
    <xf numFmtId="2" fontId="1" fillId="0" borderId="41" xfId="10" applyNumberFormat="1" applyBorder="1"/>
    <xf numFmtId="2" fontId="4" fillId="0" borderId="41" xfId="10" applyNumberFormat="1" applyFont="1" applyBorder="1"/>
    <xf numFmtId="0" fontId="1" fillId="0" borderId="0" xfId="10" applyAlignment="1">
      <alignment horizontal="center"/>
    </xf>
    <xf numFmtId="9" fontId="1" fillId="0" borderId="0" xfId="10" applyNumberFormat="1"/>
    <xf numFmtId="0" fontId="19" fillId="3" borderId="0" xfId="11" applyFont="1" applyFill="1" applyBorder="1" applyAlignment="1">
      <alignment horizontal="center" vertical="center" wrapText="1"/>
    </xf>
    <xf numFmtId="0" fontId="42" fillId="3" borderId="0" xfId="11" applyFont="1" applyFill="1" applyAlignment="1">
      <alignment vertical="center"/>
    </xf>
    <xf numFmtId="0" fontId="19" fillId="2" borderId="61" xfId="11" applyFont="1" applyFill="1" applyBorder="1" applyAlignment="1">
      <alignment horizontal="center" vertical="center"/>
    </xf>
    <xf numFmtId="0" fontId="19" fillId="2" borderId="62" xfId="11" applyFont="1" applyFill="1" applyBorder="1" applyAlignment="1">
      <alignment horizontal="center" vertical="center"/>
    </xf>
    <xf numFmtId="0" fontId="19" fillId="2" borderId="62" xfId="11" applyFont="1" applyFill="1" applyBorder="1" applyAlignment="1">
      <alignment horizontal="center" vertical="center" wrapText="1"/>
    </xf>
    <xf numFmtId="0" fontId="42" fillId="2" borderId="32" xfId="11" applyFont="1" applyFill="1" applyBorder="1" applyAlignment="1">
      <alignment horizontal="center" vertical="center"/>
    </xf>
    <xf numFmtId="166" fontId="42" fillId="3" borderId="41" xfId="11" applyNumberFormat="1" applyFont="1" applyFill="1" applyBorder="1" applyAlignment="1">
      <alignment horizontal="center" vertical="center"/>
    </xf>
    <xf numFmtId="172" fontId="42" fillId="3" borderId="41" xfId="11" applyNumberFormat="1" applyFont="1" applyFill="1" applyBorder="1" applyAlignment="1">
      <alignment horizontal="center" vertical="center"/>
    </xf>
    <xf numFmtId="0" fontId="42" fillId="2" borderId="15" xfId="11" applyFont="1" applyFill="1" applyBorder="1" applyAlignment="1">
      <alignment horizontal="center" vertical="center"/>
    </xf>
    <xf numFmtId="164" fontId="42" fillId="3" borderId="16" xfId="11" applyNumberFormat="1" applyFont="1" applyFill="1" applyBorder="1" applyAlignment="1">
      <alignment horizontal="center" vertical="center"/>
    </xf>
    <xf numFmtId="175" fontId="42" fillId="3" borderId="16" xfId="11" applyNumberFormat="1" applyFont="1" applyFill="1" applyBorder="1" applyAlignment="1">
      <alignment horizontal="center" vertical="center"/>
    </xf>
    <xf numFmtId="0" fontId="1" fillId="0" borderId="0" xfId="10" applyBorder="1" applyAlignment="1">
      <alignment horizontal="center"/>
    </xf>
    <xf numFmtId="0" fontId="4" fillId="0" borderId="0" xfId="6" applyFont="1" applyFill="1" applyBorder="1"/>
    <xf numFmtId="0" fontId="47" fillId="2" borderId="48" xfId="6" applyFont="1" applyFill="1" applyBorder="1" applyAlignment="1">
      <alignment horizontal="center" vertical="center" wrapText="1"/>
    </xf>
    <xf numFmtId="0" fontId="47" fillId="2" borderId="34" xfId="6" applyFont="1" applyFill="1" applyBorder="1" applyAlignment="1">
      <alignment horizontal="center" vertical="center" wrapText="1"/>
    </xf>
    <xf numFmtId="0" fontId="47" fillId="2" borderId="50" xfId="6" applyFont="1" applyFill="1" applyBorder="1" applyAlignment="1">
      <alignment horizontal="center" vertical="center" wrapText="1"/>
    </xf>
    <xf numFmtId="0" fontId="46" fillId="2" borderId="68" xfId="6" applyFont="1" applyFill="1" applyBorder="1" applyAlignment="1">
      <alignment horizontal="center"/>
    </xf>
    <xf numFmtId="0" fontId="48" fillId="2" borderId="36" xfId="6" applyFont="1" applyFill="1" applyBorder="1" applyAlignment="1">
      <alignment horizontal="right" vertical="center"/>
    </xf>
    <xf numFmtId="0" fontId="49" fillId="0" borderId="69" xfId="6" applyFont="1" applyFill="1" applyBorder="1" applyAlignment="1">
      <alignment horizontal="center" vertical="center"/>
    </xf>
    <xf numFmtId="43" fontId="50" fillId="0" borderId="70" xfId="4" applyFont="1" applyFill="1" applyBorder="1" applyAlignment="1" applyProtection="1">
      <alignment horizontal="center" vertical="center"/>
      <protection locked="0"/>
    </xf>
    <xf numFmtId="43" fontId="50" fillId="0" borderId="41" xfId="4" applyFont="1" applyFill="1" applyBorder="1" applyAlignment="1" applyProtection="1">
      <alignment horizontal="center" vertical="center"/>
      <protection locked="0"/>
    </xf>
    <xf numFmtId="43" fontId="50" fillId="0" borderId="44" xfId="4" applyFont="1" applyFill="1" applyBorder="1" applyAlignment="1" applyProtection="1">
      <alignment horizontal="center" vertical="center"/>
      <protection locked="0"/>
    </xf>
    <xf numFmtId="43" fontId="50" fillId="0" borderId="69" xfId="4" applyFont="1" applyFill="1" applyBorder="1" applyAlignment="1" applyProtection="1">
      <alignment horizontal="center" vertical="center"/>
      <protection locked="0"/>
    </xf>
    <xf numFmtId="0" fontId="50" fillId="0" borderId="71" xfId="6" applyFont="1" applyFill="1" applyBorder="1" applyAlignment="1">
      <alignment horizontal="center" vertical="center" wrapText="1"/>
    </xf>
    <xf numFmtId="43" fontId="50" fillId="0" borderId="71" xfId="4" applyFont="1" applyFill="1" applyBorder="1" applyAlignment="1" applyProtection="1">
      <alignment horizontal="center" vertical="center"/>
      <protection locked="0"/>
    </xf>
    <xf numFmtId="43" fontId="13" fillId="0" borderId="0" xfId="6" applyNumberFormat="1"/>
    <xf numFmtId="0" fontId="49" fillId="0" borderId="35" xfId="6" applyFont="1" applyFill="1" applyBorder="1" applyAlignment="1">
      <alignment horizontal="center" vertical="center"/>
    </xf>
    <xf numFmtId="43" fontId="50" fillId="0" borderId="72" xfId="4" applyFont="1" applyFill="1" applyBorder="1" applyAlignment="1" applyProtection="1">
      <alignment horizontal="center" vertical="center"/>
      <protection locked="0"/>
    </xf>
    <xf numFmtId="0" fontId="46" fillId="2" borderId="36" xfId="6" applyFont="1" applyFill="1" applyBorder="1" applyAlignment="1">
      <alignment horizontal="center" vertical="center"/>
    </xf>
    <xf numFmtId="43" fontId="50" fillId="2" borderId="45" xfId="4" applyFont="1" applyFill="1" applyBorder="1" applyAlignment="1">
      <alignment horizontal="center" vertical="center"/>
    </xf>
    <xf numFmtId="0" fontId="49" fillId="0" borderId="72" xfId="6" applyFont="1" applyFill="1" applyBorder="1" applyAlignment="1">
      <alignment horizontal="center" vertical="center"/>
    </xf>
    <xf numFmtId="43" fontId="50" fillId="0" borderId="18" xfId="4" applyFont="1" applyFill="1" applyBorder="1" applyAlignment="1" applyProtection="1">
      <alignment horizontal="center" vertical="center"/>
      <protection locked="0"/>
    </xf>
    <xf numFmtId="43" fontId="50" fillId="0" borderId="16" xfId="4" applyFont="1" applyFill="1" applyBorder="1" applyAlignment="1" applyProtection="1">
      <alignment horizontal="center" vertical="center"/>
      <protection locked="0"/>
    </xf>
    <xf numFmtId="43" fontId="50" fillId="0" borderId="73" xfId="4" applyFont="1" applyFill="1" applyBorder="1" applyAlignment="1" applyProtection="1">
      <alignment horizontal="center" vertical="center"/>
      <protection locked="0"/>
    </xf>
    <xf numFmtId="0" fontId="46" fillId="2" borderId="35" xfId="6" applyFont="1" applyFill="1" applyBorder="1" applyAlignment="1">
      <alignment horizontal="center" vertical="center"/>
    </xf>
    <xf numFmtId="43" fontId="39" fillId="2" borderId="22" xfId="6" applyNumberFormat="1" applyFont="1" applyFill="1" applyBorder="1" applyAlignment="1" applyProtection="1">
      <alignment horizontal="center" vertical="center"/>
      <protection locked="0"/>
    </xf>
    <xf numFmtId="43" fontId="39" fillId="2" borderId="42" xfId="6" applyNumberFormat="1" applyFont="1" applyFill="1" applyBorder="1" applyAlignment="1" applyProtection="1">
      <alignment horizontal="center" vertical="center"/>
      <protection locked="0"/>
    </xf>
    <xf numFmtId="43" fontId="39" fillId="2" borderId="29" xfId="6" applyNumberFormat="1" applyFont="1" applyFill="1" applyBorder="1" applyAlignment="1" applyProtection="1">
      <alignment horizontal="center" vertical="center"/>
      <protection locked="0"/>
    </xf>
    <xf numFmtId="43" fontId="39" fillId="2" borderId="35" xfId="4" applyFont="1" applyFill="1" applyBorder="1" applyAlignment="1" applyProtection="1">
      <alignment horizontal="center" vertical="center"/>
      <protection locked="0"/>
    </xf>
    <xf numFmtId="0" fontId="39" fillId="2" borderId="68" xfId="6" applyFont="1" applyFill="1" applyBorder="1" applyAlignment="1">
      <alignment horizontal="center"/>
    </xf>
    <xf numFmtId="0" fontId="49" fillId="0" borderId="71" xfId="6" applyFont="1" applyFill="1" applyBorder="1" applyAlignment="1">
      <alignment horizontal="center" vertical="center" wrapText="1"/>
    </xf>
    <xf numFmtId="10" fontId="13" fillId="0" borderId="0" xfId="6" applyNumberFormat="1"/>
    <xf numFmtId="0" fontId="51" fillId="2" borderId="35" xfId="6" applyFont="1" applyFill="1" applyBorder="1" applyAlignment="1">
      <alignment horizontal="center" vertical="center"/>
    </xf>
    <xf numFmtId="0" fontId="51" fillId="3" borderId="0" xfId="6" applyFont="1" applyFill="1" applyBorder="1" applyAlignment="1">
      <alignment horizontal="center" vertical="center"/>
    </xf>
    <xf numFmtId="10" fontId="39" fillId="3" borderId="0" xfId="6" applyNumberFormat="1" applyFont="1" applyFill="1" applyBorder="1" applyAlignment="1" applyProtection="1">
      <alignment horizontal="center" vertical="center"/>
      <protection locked="0"/>
    </xf>
    <xf numFmtId="0" fontId="52" fillId="2" borderId="36" xfId="6" applyFont="1" applyFill="1" applyBorder="1" applyAlignment="1">
      <alignment horizontal="right" vertical="center"/>
    </xf>
    <xf numFmtId="0" fontId="36" fillId="6" borderId="0" xfId="6" applyFont="1" applyFill="1" applyAlignment="1">
      <alignment wrapText="1"/>
    </xf>
    <xf numFmtId="0" fontId="36" fillId="10" borderId="0" xfId="6" applyFont="1" applyFill="1" applyBorder="1" applyAlignment="1">
      <alignment horizontal="center" vertical="center" wrapText="1"/>
    </xf>
    <xf numFmtId="4" fontId="37" fillId="10" borderId="0" xfId="9" applyNumberFormat="1" applyFont="1" applyFill="1" applyBorder="1" applyAlignment="1">
      <alignment horizontal="center" vertical="center"/>
    </xf>
    <xf numFmtId="0" fontId="36" fillId="10" borderId="32" xfId="6" applyFont="1" applyFill="1" applyBorder="1" applyAlignment="1">
      <alignment horizontal="left" vertical="center" wrapText="1"/>
    </xf>
    <xf numFmtId="4" fontId="37" fillId="10" borderId="41" xfId="9" applyNumberFormat="1" applyFont="1" applyFill="1" applyBorder="1" applyAlignment="1">
      <alignment horizontal="center" vertical="center"/>
    </xf>
    <xf numFmtId="4" fontId="37" fillId="10" borderId="37" xfId="9" applyNumberFormat="1" applyFont="1" applyFill="1" applyBorder="1" applyAlignment="1">
      <alignment horizontal="center" vertical="center"/>
    </xf>
    <xf numFmtId="0" fontId="4" fillId="3" borderId="0" xfId="6" applyFont="1" applyFill="1" applyBorder="1"/>
    <xf numFmtId="43" fontId="1" fillId="0" borderId="0" xfId="6" quotePrefix="1" applyNumberFormat="1" applyFont="1" applyFill="1" applyBorder="1" applyAlignment="1">
      <alignment horizontal="center" vertical="center"/>
    </xf>
    <xf numFmtId="0" fontId="1" fillId="0" borderId="0" xfId="6" applyFont="1" applyFill="1" applyBorder="1" applyAlignment="1">
      <alignment horizontal="center" vertical="center"/>
    </xf>
    <xf numFmtId="0" fontId="36" fillId="11" borderId="0" xfId="6" applyFont="1" applyFill="1" applyBorder="1" applyAlignment="1">
      <alignment wrapText="1"/>
    </xf>
    <xf numFmtId="0" fontId="37" fillId="9" borderId="58" xfId="6" applyFont="1" applyFill="1" applyBorder="1"/>
    <xf numFmtId="0" fontId="36" fillId="9" borderId="11" xfId="6" applyFont="1" applyFill="1" applyBorder="1" applyAlignment="1">
      <alignment horizontal="center" vertical="center"/>
    </xf>
    <xf numFmtId="0" fontId="36" fillId="9" borderId="12" xfId="6" applyFont="1" applyFill="1" applyBorder="1" applyAlignment="1">
      <alignment horizontal="center" vertical="center"/>
    </xf>
    <xf numFmtId="3" fontId="37" fillId="10" borderId="41" xfId="9" applyNumberFormat="1" applyFont="1" applyFill="1" applyBorder="1" applyAlignment="1">
      <alignment horizontal="center" vertical="center"/>
    </xf>
    <xf numFmtId="3" fontId="37" fillId="10" borderId="37" xfId="9" applyNumberFormat="1" applyFont="1" applyFill="1" applyBorder="1" applyAlignment="1">
      <alignment horizontal="center" vertical="center"/>
    </xf>
    <xf numFmtId="3" fontId="37" fillId="10" borderId="0" xfId="9" applyNumberFormat="1" applyFont="1" applyFill="1" applyBorder="1" applyAlignment="1">
      <alignment horizontal="center" vertical="center"/>
    </xf>
    <xf numFmtId="0" fontId="36" fillId="10" borderId="15" xfId="6" applyFont="1" applyFill="1" applyBorder="1" applyAlignment="1">
      <alignment horizontal="left" vertical="center" wrapText="1"/>
    </xf>
    <xf numFmtId="4" fontId="37" fillId="10" borderId="16" xfId="9" applyNumberFormat="1" applyFont="1" applyFill="1" applyBorder="1" applyAlignment="1">
      <alignment horizontal="center" vertical="center"/>
    </xf>
    <xf numFmtId="4" fontId="37" fillId="10" borderId="17" xfId="9" applyNumberFormat="1" applyFont="1" applyFill="1" applyBorder="1" applyAlignment="1">
      <alignment horizontal="center" vertical="center"/>
    </xf>
    <xf numFmtId="0" fontId="56" fillId="0" borderId="32" xfId="6" applyFont="1" applyBorder="1" applyAlignment="1">
      <alignment horizontal="center" vertical="center" wrapText="1"/>
    </xf>
    <xf numFmtId="0" fontId="56" fillId="0" borderId="41" xfId="6" applyFont="1" applyBorder="1" applyAlignment="1">
      <alignment horizontal="center" vertical="center" wrapText="1"/>
    </xf>
    <xf numFmtId="0" fontId="57" fillId="0" borderId="41" xfId="6" applyFont="1" applyBorder="1" applyAlignment="1">
      <alignment horizontal="center" vertical="center" wrapText="1"/>
    </xf>
    <xf numFmtId="0" fontId="57" fillId="0" borderId="41" xfId="6" applyFont="1" applyBorder="1" applyAlignment="1">
      <alignment horizontal="center" vertical="center"/>
    </xf>
    <xf numFmtId="2" fontId="57" fillId="0" borderId="41" xfId="6" applyNumberFormat="1" applyFont="1" applyBorder="1" applyAlignment="1">
      <alignment horizontal="center" vertical="center"/>
    </xf>
    <xf numFmtId="0" fontId="15" fillId="0" borderId="41" xfId="6" applyFont="1" applyBorder="1" applyAlignment="1">
      <alignment horizontal="center" vertical="center" wrapText="1"/>
    </xf>
    <xf numFmtId="8" fontId="57" fillId="0" borderId="41" xfId="6" applyNumberFormat="1" applyFont="1" applyBorder="1" applyAlignment="1">
      <alignment horizontal="right" vertical="center"/>
    </xf>
    <xf numFmtId="2" fontId="57" fillId="0" borderId="41" xfId="6" applyNumberFormat="1" applyFont="1" applyBorder="1" applyAlignment="1">
      <alignment horizontal="right" vertical="center"/>
    </xf>
    <xf numFmtId="0" fontId="57" fillId="0" borderId="41" xfId="6" applyFont="1" applyBorder="1" applyAlignment="1">
      <alignment horizontal="right" vertical="center"/>
    </xf>
    <xf numFmtId="44" fontId="57" fillId="0" borderId="41" xfId="6" applyNumberFormat="1" applyFont="1" applyBorder="1" applyAlignment="1">
      <alignment horizontal="center" vertical="center" wrapText="1"/>
    </xf>
    <xf numFmtId="2" fontId="57" fillId="0" borderId="41" xfId="6" applyNumberFormat="1" applyFont="1" applyBorder="1" applyAlignment="1">
      <alignment horizontal="right" vertical="center" wrapText="1"/>
    </xf>
    <xf numFmtId="43" fontId="57" fillId="0" borderId="41" xfId="6" applyNumberFormat="1" applyFont="1" applyBorder="1" applyAlignment="1">
      <alignment horizontal="left" vertical="center" wrapText="1"/>
    </xf>
    <xf numFmtId="43" fontId="57" fillId="0" borderId="41" xfId="6" applyNumberFormat="1" applyFont="1" applyBorder="1" applyAlignment="1">
      <alignment horizontal="right" vertical="center" wrapText="1"/>
    </xf>
    <xf numFmtId="0" fontId="57" fillId="0" borderId="34" xfId="6" applyFont="1" applyBorder="1" applyAlignment="1">
      <alignment horizontal="center" vertical="center" wrapText="1"/>
    </xf>
    <xf numFmtId="2" fontId="57" fillId="0" borderId="34" xfId="6" applyNumberFormat="1" applyFont="1" applyBorder="1" applyAlignment="1">
      <alignment horizontal="right" vertical="center" wrapText="1"/>
    </xf>
    <xf numFmtId="43" fontId="57" fillId="0" borderId="34" xfId="6" applyNumberFormat="1" applyFont="1" applyBorder="1" applyAlignment="1">
      <alignment horizontal="right" vertical="center" wrapText="1"/>
    </xf>
    <xf numFmtId="0" fontId="56" fillId="0" borderId="35" xfId="6" applyFont="1" applyFill="1" applyBorder="1" applyAlignment="1">
      <alignment horizontal="center" vertical="center" wrapText="1"/>
    </xf>
    <xf numFmtId="0" fontId="26" fillId="3" borderId="0" xfId="6" applyFont="1" applyFill="1"/>
    <xf numFmtId="0" fontId="4" fillId="3" borderId="0" xfId="6" applyFont="1" applyFill="1" applyBorder="1" applyAlignment="1">
      <alignment horizontal="center"/>
    </xf>
    <xf numFmtId="0" fontId="1" fillId="3" borderId="0" xfId="6" applyFont="1" applyFill="1" applyBorder="1"/>
    <xf numFmtId="0" fontId="4" fillId="3" borderId="0" xfId="6" applyFont="1" applyFill="1"/>
    <xf numFmtId="0" fontId="4" fillId="2" borderId="47" xfId="6" applyFont="1" applyFill="1" applyBorder="1"/>
    <xf numFmtId="0" fontId="42" fillId="3" borderId="0" xfId="6" applyFont="1" applyFill="1" applyBorder="1"/>
    <xf numFmtId="43" fontId="42" fillId="3" borderId="0" xfId="4" applyFont="1" applyFill="1" applyBorder="1"/>
    <xf numFmtId="0" fontId="4" fillId="2" borderId="46" xfId="6" applyFont="1" applyFill="1" applyBorder="1"/>
    <xf numFmtId="0" fontId="4" fillId="2" borderId="60" xfId="6" applyFont="1" applyFill="1" applyBorder="1"/>
    <xf numFmtId="168" fontId="42" fillId="3" borderId="0" xfId="4" applyNumberFormat="1" applyFont="1" applyFill="1" applyBorder="1"/>
    <xf numFmtId="0" fontId="42" fillId="3" borderId="0" xfId="6" applyFont="1" applyFill="1" applyBorder="1" applyAlignment="1">
      <alignment wrapText="1"/>
    </xf>
    <xf numFmtId="43" fontId="42" fillId="3" borderId="0" xfId="4" applyNumberFormat="1" applyFont="1" applyFill="1" applyBorder="1"/>
    <xf numFmtId="2" fontId="42" fillId="3" borderId="0" xfId="4" applyNumberFormat="1" applyFont="1" applyFill="1" applyBorder="1"/>
    <xf numFmtId="0" fontId="58" fillId="0" borderId="0" xfId="6" applyFont="1"/>
    <xf numFmtId="0" fontId="59" fillId="2" borderId="6" xfId="6" applyFont="1" applyFill="1" applyBorder="1" applyAlignment="1">
      <alignment horizontal="center" vertical="center"/>
    </xf>
    <xf numFmtId="0" fontId="59" fillId="2" borderId="7" xfId="6" applyFont="1" applyFill="1" applyBorder="1" applyAlignment="1">
      <alignment horizontal="center" vertical="center" wrapText="1"/>
    </xf>
    <xf numFmtId="0" fontId="59" fillId="2" borderId="9" xfId="6" applyFont="1" applyFill="1" applyBorder="1" applyAlignment="1">
      <alignment horizontal="center" vertical="center" wrapText="1"/>
    </xf>
    <xf numFmtId="0" fontId="59" fillId="2" borderId="69" xfId="6" applyFont="1" applyFill="1" applyBorder="1" applyAlignment="1">
      <alignment horizontal="center" vertical="center" wrapText="1"/>
    </xf>
    <xf numFmtId="2" fontId="58" fillId="0" borderId="10" xfId="5" applyNumberFormat="1" applyFont="1" applyBorder="1" applyAlignment="1">
      <alignment horizontal="center" vertical="center"/>
    </xf>
    <xf numFmtId="2" fontId="58" fillId="0" borderId="11" xfId="5" applyNumberFormat="1" applyFont="1" applyBorder="1" applyAlignment="1">
      <alignment horizontal="center" vertical="center"/>
    </xf>
    <xf numFmtId="10" fontId="60" fillId="0" borderId="12" xfId="5" applyNumberFormat="1" applyFont="1" applyBorder="1" applyAlignment="1">
      <alignment horizontal="center" vertical="center"/>
    </xf>
    <xf numFmtId="2" fontId="13" fillId="0" borderId="0" xfId="6" applyNumberFormat="1"/>
    <xf numFmtId="0" fontId="59" fillId="2" borderId="71" xfId="6" applyFont="1" applyFill="1" applyBorder="1" applyAlignment="1">
      <alignment horizontal="center" vertical="center" wrapText="1"/>
    </xf>
    <xf numFmtId="2" fontId="58" fillId="0" borderId="70" xfId="5" applyNumberFormat="1" applyFont="1" applyBorder="1" applyAlignment="1">
      <alignment horizontal="center" vertical="center"/>
    </xf>
    <xf numFmtId="2" fontId="58" fillId="0" borderId="41" xfId="5" applyNumberFormat="1" applyFont="1" applyBorder="1" applyAlignment="1">
      <alignment horizontal="center" vertical="center"/>
    </xf>
    <xf numFmtId="10" fontId="60" fillId="0" borderId="37" xfId="5" applyNumberFormat="1" applyFont="1" applyBorder="1" applyAlignment="1">
      <alignment horizontal="center" vertical="center"/>
    </xf>
    <xf numFmtId="10" fontId="58" fillId="0" borderId="37" xfId="5" applyNumberFormat="1" applyFont="1" applyBorder="1" applyAlignment="1">
      <alignment horizontal="center" vertical="center"/>
    </xf>
    <xf numFmtId="10" fontId="58" fillId="0" borderId="70" xfId="5" applyNumberFormat="1" applyFont="1" applyBorder="1" applyAlignment="1">
      <alignment horizontal="center" vertical="center"/>
    </xf>
    <xf numFmtId="10" fontId="58" fillId="0" borderId="41" xfId="5" applyNumberFormat="1" applyFont="1" applyBorder="1" applyAlignment="1">
      <alignment horizontal="center" vertical="center"/>
    </xf>
    <xf numFmtId="0" fontId="15" fillId="2" borderId="82" xfId="6" applyFont="1" applyFill="1" applyBorder="1" applyAlignment="1">
      <alignment horizontal="center" vertical="center" wrapText="1"/>
    </xf>
    <xf numFmtId="0" fontId="62" fillId="0" borderId="83" xfId="6" applyFont="1" applyBorder="1" applyAlignment="1">
      <alignment horizontal="center" vertical="center" wrapText="1"/>
    </xf>
    <xf numFmtId="4" fontId="62" fillId="0" borderId="83" xfId="6" applyNumberFormat="1" applyFont="1" applyBorder="1" applyAlignment="1">
      <alignment horizontal="center" vertical="center" wrapText="1"/>
    </xf>
    <xf numFmtId="43" fontId="62" fillId="0" borderId="83" xfId="6" applyNumberFormat="1" applyFont="1" applyBorder="1" applyAlignment="1">
      <alignment horizontal="center" vertical="center" wrapText="1"/>
    </xf>
    <xf numFmtId="0" fontId="18" fillId="3" borderId="2" xfId="6" applyFont="1" applyFill="1" applyBorder="1" applyAlignment="1">
      <alignment vertical="center"/>
    </xf>
    <xf numFmtId="0" fontId="25" fillId="3" borderId="4" xfId="6" applyFont="1" applyFill="1" applyBorder="1" applyAlignment="1">
      <alignment vertical="center"/>
    </xf>
    <xf numFmtId="0" fontId="68" fillId="3" borderId="0" xfId="6" applyFont="1" applyFill="1" applyAlignment="1">
      <alignment vertical="center"/>
    </xf>
    <xf numFmtId="0" fontId="57" fillId="0" borderId="41" xfId="6" applyFont="1" applyBorder="1" applyAlignment="1">
      <alignment horizontal="center" vertical="center" wrapText="1"/>
    </xf>
    <xf numFmtId="0" fontId="65" fillId="3" borderId="0" xfId="6" applyFont="1" applyFill="1" applyBorder="1" applyAlignment="1">
      <alignment vertical="center" wrapText="1"/>
    </xf>
    <xf numFmtId="0" fontId="69" fillId="3" borderId="0" xfId="3" applyFont="1" applyFill="1" applyBorder="1" applyAlignment="1">
      <alignment horizontal="center" vertical="center"/>
    </xf>
    <xf numFmtId="0" fontId="69" fillId="3" borderId="0" xfId="2" applyFont="1" applyFill="1" applyBorder="1"/>
    <xf numFmtId="0" fontId="46" fillId="3" borderId="0" xfId="3" applyFont="1" applyFill="1" applyBorder="1" applyAlignment="1">
      <alignment horizontal="center" vertical="center" wrapText="1"/>
    </xf>
    <xf numFmtId="0" fontId="4" fillId="2" borderId="84" xfId="6" applyFont="1" applyFill="1" applyBorder="1" applyAlignment="1">
      <alignment horizontal="center" vertical="center" wrapText="1"/>
    </xf>
    <xf numFmtId="3" fontId="35" fillId="3" borderId="15" xfId="3" applyNumberFormat="1" applyFont="1" applyFill="1" applyBorder="1" applyAlignment="1">
      <alignment horizontal="center" vertical="center"/>
    </xf>
    <xf numFmtId="0" fontId="43" fillId="3" borderId="0" xfId="2" applyFont="1" applyFill="1" applyBorder="1"/>
    <xf numFmtId="0" fontId="29" fillId="3" borderId="0" xfId="2" applyFont="1" applyFill="1" applyBorder="1"/>
    <xf numFmtId="0" fontId="4" fillId="3" borderId="0" xfId="6" applyFont="1" applyFill="1" applyBorder="1" applyAlignment="1">
      <alignment vertical="center"/>
    </xf>
    <xf numFmtId="0" fontId="42" fillId="3" borderId="76" xfId="6" applyFont="1" applyFill="1" applyBorder="1"/>
    <xf numFmtId="0" fontId="42" fillId="3" borderId="77" xfId="6" applyFont="1" applyFill="1" applyBorder="1"/>
    <xf numFmtId="0" fontId="42" fillId="3" borderId="29" xfId="6" applyFont="1" applyFill="1" applyBorder="1"/>
    <xf numFmtId="0" fontId="42" fillId="3" borderId="30" xfId="6" applyFont="1" applyFill="1" applyBorder="1"/>
    <xf numFmtId="43" fontId="42" fillId="3" borderId="30" xfId="4" applyFont="1" applyFill="1" applyBorder="1"/>
    <xf numFmtId="0" fontId="42" fillId="3" borderId="59" xfId="6" applyFont="1" applyFill="1" applyBorder="1"/>
    <xf numFmtId="0" fontId="1" fillId="3" borderId="77" xfId="6" applyFont="1" applyFill="1" applyBorder="1"/>
    <xf numFmtId="0" fontId="42" fillId="3" borderId="23" xfId="6" applyFont="1" applyFill="1" applyBorder="1"/>
    <xf numFmtId="0" fontId="42" fillId="3" borderId="24" xfId="6" applyFont="1" applyFill="1" applyBorder="1"/>
    <xf numFmtId="43" fontId="42" fillId="3" borderId="24" xfId="4" applyFont="1" applyFill="1" applyBorder="1"/>
    <xf numFmtId="0" fontId="42" fillId="3" borderId="25" xfId="6" applyFont="1" applyFill="1" applyBorder="1"/>
    <xf numFmtId="0" fontId="42" fillId="3" borderId="26" xfId="6" applyFont="1" applyFill="1" applyBorder="1"/>
    <xf numFmtId="0" fontId="42" fillId="3" borderId="27" xfId="6" applyFont="1" applyFill="1" applyBorder="1"/>
    <xf numFmtId="43" fontId="42" fillId="3" borderId="27" xfId="4" applyFont="1" applyFill="1" applyBorder="1"/>
    <xf numFmtId="0" fontId="42" fillId="3" borderId="28" xfId="6" applyFont="1" applyFill="1" applyBorder="1"/>
    <xf numFmtId="0" fontId="45" fillId="3" borderId="25" xfId="6" applyFont="1" applyFill="1" applyBorder="1"/>
    <xf numFmtId="0" fontId="0" fillId="3" borderId="0" xfId="6" applyFont="1" applyFill="1" applyAlignment="1">
      <alignment vertical="center"/>
    </xf>
    <xf numFmtId="0" fontId="56" fillId="0" borderId="39" xfId="6" applyFont="1" applyBorder="1" applyAlignment="1">
      <alignment horizontal="center" vertical="center" wrapText="1"/>
    </xf>
    <xf numFmtId="0" fontId="70" fillId="0" borderId="41" xfId="6" applyFont="1" applyBorder="1" applyAlignment="1">
      <alignment horizontal="center" vertical="center"/>
    </xf>
    <xf numFmtId="0" fontId="7" fillId="3" borderId="41" xfId="6" applyFont="1" applyFill="1" applyBorder="1" applyAlignment="1">
      <alignment horizontal="center" vertical="center" wrapText="1"/>
    </xf>
    <xf numFmtId="2" fontId="9" fillId="3" borderId="41" xfId="6" applyNumberFormat="1" applyFont="1" applyFill="1" applyBorder="1" applyAlignment="1">
      <alignment horizontal="center" vertical="center"/>
    </xf>
    <xf numFmtId="0" fontId="9" fillId="3" borderId="41" xfId="6" applyFont="1" applyFill="1" applyBorder="1" applyAlignment="1">
      <alignment horizontal="center" vertical="center"/>
    </xf>
    <xf numFmtId="0" fontId="9" fillId="3" borderId="41" xfId="6" applyFont="1" applyFill="1" applyBorder="1" applyAlignment="1">
      <alignment horizontal="center" vertical="center" wrapText="1"/>
    </xf>
    <xf numFmtId="0" fontId="13" fillId="0" borderId="41" xfId="6" applyBorder="1"/>
    <xf numFmtId="2" fontId="1" fillId="3" borderId="49" xfId="6" applyNumberFormat="1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left"/>
    </xf>
    <xf numFmtId="0" fontId="35" fillId="0" borderId="0" xfId="2" applyFont="1"/>
    <xf numFmtId="1" fontId="16" fillId="3" borderId="20" xfId="4" applyNumberFormat="1" applyFont="1" applyFill="1" applyBorder="1" applyAlignment="1">
      <alignment horizontal="center" vertical="center" wrapText="1"/>
    </xf>
    <xf numFmtId="3" fontId="17" fillId="3" borderId="73" xfId="4" applyNumberFormat="1" applyFont="1" applyFill="1" applyBorder="1" applyAlignment="1">
      <alignment horizontal="center" vertical="center" wrapText="1"/>
    </xf>
    <xf numFmtId="1" fontId="16" fillId="3" borderId="84" xfId="4" applyNumberFormat="1" applyFont="1" applyFill="1" applyBorder="1" applyAlignment="1">
      <alignment horizontal="center" vertical="center" wrapText="1"/>
    </xf>
    <xf numFmtId="1" fontId="16" fillId="3" borderId="7" xfId="4" applyNumberFormat="1" applyFont="1" applyFill="1" applyBorder="1" applyAlignment="1">
      <alignment horizontal="center" vertical="center" wrapText="1"/>
    </xf>
    <xf numFmtId="1" fontId="16" fillId="3" borderId="8" xfId="4" applyNumberFormat="1" applyFont="1" applyFill="1" applyBorder="1" applyAlignment="1">
      <alignment horizontal="center" vertical="center" wrapText="1"/>
    </xf>
    <xf numFmtId="0" fontId="56" fillId="0" borderId="41" xfId="2" applyFont="1" applyBorder="1" applyAlignment="1">
      <alignment horizontal="center" vertical="center"/>
    </xf>
    <xf numFmtId="0" fontId="56" fillId="0" borderId="84" xfId="2" applyFont="1" applyBorder="1" applyAlignment="1">
      <alignment horizontal="center" vertical="center"/>
    </xf>
    <xf numFmtId="0" fontId="56" fillId="0" borderId="85" xfId="2" applyFont="1" applyBorder="1" applyAlignment="1">
      <alignment horizontal="center" vertical="center"/>
    </xf>
    <xf numFmtId="0" fontId="57" fillId="0" borderId="16" xfId="2" applyFont="1" applyBorder="1" applyAlignment="1">
      <alignment horizontal="center" vertical="center"/>
    </xf>
    <xf numFmtId="0" fontId="57" fillId="0" borderId="17" xfId="2" applyFont="1" applyBorder="1" applyAlignment="1">
      <alignment horizontal="center" vertical="center"/>
    </xf>
    <xf numFmtId="1" fontId="16" fillId="3" borderId="58" xfId="4" applyNumberFormat="1" applyFont="1" applyFill="1" applyBorder="1" applyAlignment="1">
      <alignment horizontal="center" vertical="center" wrapText="1"/>
    </xf>
    <xf numFmtId="3" fontId="17" fillId="3" borderId="15" xfId="4" applyNumberFormat="1" applyFont="1" applyFill="1" applyBorder="1" applyAlignment="1">
      <alignment horizontal="center" vertical="center" wrapText="1"/>
    </xf>
    <xf numFmtId="0" fontId="57" fillId="0" borderId="41" xfId="2" applyFont="1" applyBorder="1" applyAlignment="1">
      <alignment horizontal="center" vertical="center"/>
    </xf>
    <xf numFmtId="0" fontId="56" fillId="0" borderId="85" xfId="2" applyFont="1" applyBorder="1" applyAlignment="1">
      <alignment horizontal="center"/>
    </xf>
    <xf numFmtId="1" fontId="72" fillId="3" borderId="0" xfId="4" applyNumberFormat="1" applyFont="1" applyFill="1" applyBorder="1" applyAlignment="1">
      <alignment horizontal="center" vertical="center" wrapText="1"/>
    </xf>
    <xf numFmtId="4" fontId="73" fillId="3" borderId="0" xfId="4" applyNumberFormat="1" applyFont="1" applyFill="1" applyBorder="1" applyAlignment="1">
      <alignment horizontal="center" vertical="center" wrapText="1"/>
    </xf>
    <xf numFmtId="0" fontId="3" fillId="3" borderId="0" xfId="2" applyFont="1" applyFill="1" applyBorder="1"/>
    <xf numFmtId="0" fontId="72" fillId="3" borderId="0" xfId="2" applyFont="1" applyFill="1" applyBorder="1" applyAlignment="1">
      <alignment horizontal="center" vertical="center"/>
    </xf>
    <xf numFmtId="0" fontId="1" fillId="3" borderId="0" xfId="2" applyFill="1" applyBorder="1"/>
    <xf numFmtId="0" fontId="74" fillId="14" borderId="59" xfId="6" applyFont="1" applyFill="1" applyBorder="1" applyAlignment="1">
      <alignment horizontal="center" vertical="center" wrapText="1"/>
    </xf>
    <xf numFmtId="0" fontId="74" fillId="14" borderId="3" xfId="6" applyFont="1" applyFill="1" applyBorder="1" applyAlignment="1">
      <alignment horizontal="center" vertical="center"/>
    </xf>
    <xf numFmtId="0" fontId="13" fillId="15" borderId="36" xfId="6" applyFill="1" applyBorder="1" applyAlignment="1">
      <alignment horizontal="center" vertical="center" wrapText="1"/>
    </xf>
    <xf numFmtId="0" fontId="13" fillId="15" borderId="60" xfId="6" applyFill="1" applyBorder="1" applyAlignment="1">
      <alignment horizontal="center" vertical="center"/>
    </xf>
    <xf numFmtId="0" fontId="75" fillId="0" borderId="88" xfId="6" applyFont="1" applyBorder="1" applyAlignment="1">
      <alignment horizontal="center" vertical="center"/>
    </xf>
    <xf numFmtId="0" fontId="76" fillId="0" borderId="59" xfId="6" applyFont="1" applyBorder="1" applyAlignment="1">
      <alignment horizontal="center" vertical="center"/>
    </xf>
    <xf numFmtId="0" fontId="17" fillId="0" borderId="59" xfId="6" applyFont="1" applyBorder="1" applyAlignment="1">
      <alignment horizontal="center" vertical="center"/>
    </xf>
    <xf numFmtId="0" fontId="17" fillId="0" borderId="59" xfId="6" applyFont="1" applyBorder="1" applyAlignment="1">
      <alignment horizontal="center" vertical="center" wrapText="1"/>
    </xf>
    <xf numFmtId="0" fontId="17" fillId="0" borderId="30" xfId="6" applyFont="1" applyBorder="1" applyAlignment="1">
      <alignment horizontal="center" vertical="center" wrapText="1"/>
    </xf>
    <xf numFmtId="0" fontId="57" fillId="0" borderId="36" xfId="6" applyFont="1" applyBorder="1" applyAlignment="1">
      <alignment horizontal="center" vertical="center"/>
    </xf>
    <xf numFmtId="0" fontId="57" fillId="0" borderId="60" xfId="6" applyFont="1" applyBorder="1" applyAlignment="1">
      <alignment horizontal="center" vertical="center"/>
    </xf>
    <xf numFmtId="0" fontId="75" fillId="0" borderId="89" xfId="6" applyFont="1" applyBorder="1" applyAlignment="1">
      <alignment horizontal="center" vertical="center" wrapText="1"/>
    </xf>
    <xf numFmtId="0" fontId="76" fillId="0" borderId="77" xfId="6" applyFont="1" applyBorder="1" applyAlignment="1">
      <alignment horizontal="center" vertical="center"/>
    </xf>
    <xf numFmtId="0" fontId="17" fillId="0" borderId="77" xfId="6" applyFont="1" applyBorder="1" applyAlignment="1">
      <alignment horizontal="center" vertical="center"/>
    </xf>
    <xf numFmtId="0" fontId="17" fillId="0" borderId="0" xfId="6" applyFont="1" applyBorder="1" applyAlignment="1">
      <alignment horizontal="center" vertical="center" wrapText="1"/>
    </xf>
    <xf numFmtId="0" fontId="57" fillId="0" borderId="3" xfId="6" applyFont="1" applyBorder="1" applyAlignment="1">
      <alignment horizontal="center" vertical="center"/>
    </xf>
    <xf numFmtId="0" fontId="75" fillId="0" borderId="36" xfId="6" applyFont="1" applyBorder="1" applyAlignment="1">
      <alignment horizontal="center" vertical="center"/>
    </xf>
    <xf numFmtId="0" fontId="76" fillId="0" borderId="60" xfId="6" applyFont="1" applyBorder="1" applyAlignment="1">
      <alignment horizontal="center" vertical="center"/>
    </xf>
    <xf numFmtId="0" fontId="17" fillId="0" borderId="60" xfId="6" applyFont="1" applyBorder="1" applyAlignment="1">
      <alignment horizontal="center" vertical="center"/>
    </xf>
    <xf numFmtId="0" fontId="17" fillId="0" borderId="46" xfId="6" applyFont="1" applyBorder="1" applyAlignment="1">
      <alignment horizontal="center" vertical="center" wrapText="1"/>
    </xf>
    <xf numFmtId="0" fontId="76" fillId="0" borderId="36" xfId="6" applyFont="1" applyBorder="1" applyAlignment="1">
      <alignment horizontal="center" vertical="center" wrapText="1"/>
    </xf>
    <xf numFmtId="0" fontId="14" fillId="0" borderId="60" xfId="6" applyFont="1" applyBorder="1" applyAlignment="1">
      <alignment horizontal="center" vertical="center"/>
    </xf>
    <xf numFmtId="0" fontId="14" fillId="0" borderId="60" xfId="6" applyFont="1" applyBorder="1" applyAlignment="1">
      <alignment horizontal="center" vertical="center" wrapText="1"/>
    </xf>
    <xf numFmtId="0" fontId="14" fillId="0" borderId="46" xfId="6" applyFont="1" applyBorder="1" applyAlignment="1">
      <alignment horizontal="center" vertical="center" wrapText="1"/>
    </xf>
    <xf numFmtId="0" fontId="14" fillId="0" borderId="36" xfId="6" applyFont="1" applyBorder="1" applyAlignment="1">
      <alignment horizontal="center" vertical="center"/>
    </xf>
    <xf numFmtId="0" fontId="76" fillId="0" borderId="43" xfId="6" applyFont="1" applyBorder="1" applyAlignment="1">
      <alignment horizontal="center" vertical="center" wrapText="1"/>
    </xf>
    <xf numFmtId="0" fontId="76" fillId="0" borderId="3" xfId="6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 wrapText="1"/>
    </xf>
    <xf numFmtId="0" fontId="14" fillId="0" borderId="4" xfId="6" applyFont="1" applyBorder="1" applyAlignment="1">
      <alignment horizontal="center" vertical="center" wrapText="1"/>
    </xf>
    <xf numFmtId="0" fontId="75" fillId="0" borderId="59" xfId="6" applyFont="1" applyBorder="1" applyAlignment="1">
      <alignment horizontal="center" vertical="center"/>
    </xf>
    <xf numFmtId="0" fontId="75" fillId="0" borderId="88" xfId="6" applyFont="1" applyBorder="1" applyAlignment="1">
      <alignment horizontal="center" vertical="center" wrapText="1"/>
    </xf>
    <xf numFmtId="0" fontId="17" fillId="0" borderId="88" xfId="6" applyFont="1" applyBorder="1" applyAlignment="1">
      <alignment horizontal="center" vertical="center"/>
    </xf>
    <xf numFmtId="0" fontId="75" fillId="0" borderId="59" xfId="6" applyFont="1" applyBorder="1" applyAlignment="1">
      <alignment horizontal="center" vertical="center" wrapText="1"/>
    </xf>
    <xf numFmtId="0" fontId="75" fillId="0" borderId="90" xfId="6" applyFont="1" applyBorder="1" applyAlignment="1">
      <alignment horizontal="center" vertical="center" wrapText="1"/>
    </xf>
    <xf numFmtId="0" fontId="57" fillId="0" borderId="59" xfId="6" applyFont="1" applyBorder="1" applyAlignment="1">
      <alignment horizontal="center" vertical="center"/>
    </xf>
    <xf numFmtId="0" fontId="75" fillId="0" borderId="90" xfId="6" applyFont="1" applyBorder="1" applyAlignment="1">
      <alignment horizontal="center" vertical="center"/>
    </xf>
    <xf numFmtId="172" fontId="57" fillId="0" borderId="43" xfId="6" applyNumberFormat="1" applyFont="1" applyBorder="1" applyAlignment="1">
      <alignment horizontal="center" vertical="center"/>
    </xf>
    <xf numFmtId="0" fontId="13" fillId="0" borderId="0" xfId="6" applyFill="1" applyBorder="1" applyAlignment="1">
      <alignment horizontal="center" vertical="center"/>
    </xf>
    <xf numFmtId="2" fontId="17" fillId="0" borderId="59" xfId="6" applyNumberFormat="1" applyFont="1" applyBorder="1" applyAlignment="1">
      <alignment horizontal="center" vertical="center" wrapText="1"/>
    </xf>
    <xf numFmtId="2" fontId="17" fillId="0" borderId="77" xfId="6" applyNumberFormat="1" applyFont="1" applyBorder="1" applyAlignment="1">
      <alignment horizontal="center" vertical="center" wrapText="1"/>
    </xf>
    <xf numFmtId="2" fontId="17" fillId="0" borderId="60" xfId="6" applyNumberFormat="1" applyFont="1" applyBorder="1" applyAlignment="1">
      <alignment horizontal="center" vertical="center" wrapText="1"/>
    </xf>
    <xf numFmtId="2" fontId="76" fillId="0" borderId="60" xfId="6" applyNumberFormat="1" applyFont="1" applyBorder="1" applyAlignment="1">
      <alignment horizontal="center" vertical="center"/>
    </xf>
    <xf numFmtId="2" fontId="75" fillId="0" borderId="59" xfId="6" applyNumberFormat="1" applyFont="1" applyBorder="1" applyAlignment="1">
      <alignment horizontal="center" vertical="center" wrapText="1"/>
    </xf>
    <xf numFmtId="10" fontId="4" fillId="3" borderId="0" xfId="5" applyNumberFormat="1" applyFont="1" applyFill="1" applyBorder="1" applyAlignment="1">
      <alignment horizontal="center" vertical="center" wrapText="1"/>
    </xf>
    <xf numFmtId="169" fontId="29" fillId="4" borderId="0" xfId="6" applyNumberFormat="1" applyFont="1" applyFill="1" applyBorder="1" applyAlignment="1">
      <alignment horizontal="left" vertical="center"/>
    </xf>
    <xf numFmtId="171" fontId="29" fillId="5" borderId="0" xfId="8" applyNumberFormat="1" applyFont="1" applyFill="1" applyBorder="1" applyAlignment="1">
      <alignment horizontal="left"/>
    </xf>
    <xf numFmtId="0" fontId="26" fillId="3" borderId="0" xfId="6" applyFont="1" applyFill="1" applyBorder="1" applyAlignment="1">
      <alignment horizontal="center" vertical="center" wrapText="1"/>
    </xf>
    <xf numFmtId="171" fontId="29" fillId="5" borderId="40" xfId="8" applyNumberFormat="1" applyFont="1" applyFill="1" applyBorder="1" applyAlignment="1">
      <alignment horizontal="right"/>
    </xf>
    <xf numFmtId="0" fontId="29" fillId="4" borderId="58" xfId="6" applyFont="1" applyFill="1" applyBorder="1" applyAlignment="1">
      <alignment horizontal="left" vertical="center" wrapText="1"/>
    </xf>
    <xf numFmtId="169" fontId="29" fillId="4" borderId="85" xfId="6" applyNumberFormat="1" applyFont="1" applyFill="1" applyBorder="1" applyAlignment="1">
      <alignment horizontal="right"/>
    </xf>
    <xf numFmtId="10" fontId="4" fillId="0" borderId="0" xfId="6" applyNumberFormat="1" applyFont="1" applyFill="1" applyBorder="1" applyAlignment="1">
      <alignment horizontal="left" vertical="center" wrapText="1"/>
    </xf>
    <xf numFmtId="43" fontId="4" fillId="0" borderId="0" xfId="6" applyNumberFormat="1" applyFont="1" applyFill="1" applyBorder="1" applyAlignment="1">
      <alignment horizontal="center"/>
    </xf>
    <xf numFmtId="171" fontId="29" fillId="5" borderId="17" xfId="6" applyNumberFormat="1" applyFont="1" applyFill="1" applyBorder="1" applyAlignment="1">
      <alignment horizontal="right"/>
    </xf>
    <xf numFmtId="170" fontId="0" fillId="0" borderId="31" xfId="6" applyNumberFormat="1" applyFont="1" applyFill="1" applyBorder="1" applyAlignment="1">
      <alignment horizontal="center"/>
    </xf>
    <xf numFmtId="43" fontId="0" fillId="0" borderId="38" xfId="6" applyNumberFormat="1" applyFont="1" applyFill="1" applyBorder="1" applyAlignment="1">
      <alignment horizontal="center"/>
    </xf>
    <xf numFmtId="176" fontId="1" fillId="0" borderId="1" xfId="6" applyNumberFormat="1" applyFont="1" applyFill="1" applyBorder="1" applyAlignment="1">
      <alignment horizontal="center"/>
    </xf>
    <xf numFmtId="176" fontId="1" fillId="0" borderId="41" xfId="6" applyNumberFormat="1" applyFont="1" applyFill="1" applyBorder="1" applyAlignment="1">
      <alignment horizontal="center"/>
    </xf>
    <xf numFmtId="170" fontId="0" fillId="3" borderId="31" xfId="6" applyNumberFormat="1" applyFont="1" applyFill="1" applyBorder="1" applyAlignment="1">
      <alignment horizontal="center"/>
    </xf>
    <xf numFmtId="43" fontId="0" fillId="3" borderId="38" xfId="6" applyNumberFormat="1" applyFont="1" applyFill="1" applyBorder="1" applyAlignment="1">
      <alignment horizontal="center"/>
    </xf>
    <xf numFmtId="176" fontId="1" fillId="3" borderId="41" xfId="6" applyNumberFormat="1" applyFont="1" applyFill="1" applyBorder="1" applyAlignment="1">
      <alignment horizontal="center"/>
    </xf>
    <xf numFmtId="43" fontId="35" fillId="0" borderId="41" xfId="6" applyNumberFormat="1" applyFont="1" applyFill="1" applyBorder="1" applyAlignment="1">
      <alignment horizontal="center"/>
    </xf>
    <xf numFmtId="10" fontId="4" fillId="2" borderId="39" xfId="6" applyNumberFormat="1" applyFont="1" applyFill="1" applyBorder="1" applyAlignment="1">
      <alignment horizontal="center" vertical="center"/>
    </xf>
    <xf numFmtId="172" fontId="9" fillId="3" borderId="41" xfId="6" applyNumberFormat="1" applyFont="1" applyFill="1" applyBorder="1" applyAlignment="1">
      <alignment horizontal="center" vertical="center"/>
    </xf>
    <xf numFmtId="2" fontId="9" fillId="3" borderId="41" xfId="6" applyNumberFormat="1" applyFont="1" applyFill="1" applyBorder="1" applyAlignment="1">
      <alignment horizontal="center" vertical="center" wrapText="1"/>
    </xf>
    <xf numFmtId="171" fontId="37" fillId="4" borderId="91" xfId="4" applyNumberFormat="1" applyFont="1" applyFill="1" applyBorder="1" applyAlignment="1">
      <alignment horizontal="center" vertical="center"/>
    </xf>
    <xf numFmtId="171" fontId="36" fillId="5" borderId="92" xfId="4" applyNumberFormat="1" applyFont="1" applyFill="1" applyBorder="1" applyAlignment="1">
      <alignment horizontal="center" vertical="center"/>
    </xf>
    <xf numFmtId="173" fontId="36" fillId="4" borderId="94" xfId="4" applyNumberFormat="1" applyFont="1" applyFill="1" applyBorder="1" applyAlignment="1">
      <alignment horizontal="center" vertical="center"/>
    </xf>
    <xf numFmtId="174" fontId="37" fillId="4" borderId="91" xfId="4" applyNumberFormat="1" applyFont="1" applyFill="1" applyBorder="1" applyAlignment="1">
      <alignment horizontal="center" vertical="center"/>
    </xf>
    <xf numFmtId="174" fontId="37" fillId="4" borderId="97" xfId="4" applyNumberFormat="1" applyFont="1" applyFill="1" applyBorder="1" applyAlignment="1">
      <alignment horizontal="center" vertical="center"/>
    </xf>
    <xf numFmtId="173" fontId="37" fillId="4" borderId="98" xfId="4" applyNumberFormat="1" applyFont="1" applyFill="1" applyBorder="1" applyAlignment="1">
      <alignment horizontal="center" vertical="center"/>
    </xf>
    <xf numFmtId="171" fontId="37" fillId="4" borderId="99" xfId="4" applyNumberFormat="1" applyFont="1" applyFill="1" applyBorder="1" applyAlignment="1">
      <alignment horizontal="center" vertical="center"/>
    </xf>
    <xf numFmtId="171" fontId="37" fillId="4" borderId="97" xfId="4" applyNumberFormat="1" applyFont="1" applyFill="1" applyBorder="1" applyAlignment="1">
      <alignment horizontal="center" vertical="center"/>
    </xf>
    <xf numFmtId="0" fontId="35" fillId="3" borderId="0" xfId="6" applyFont="1" applyFill="1" applyAlignment="1">
      <alignment vertical="center"/>
    </xf>
    <xf numFmtId="0" fontId="80" fillId="7" borderId="102" xfId="6" applyFont="1" applyFill="1" applyBorder="1" applyAlignment="1">
      <alignment horizontal="center" vertical="center"/>
    </xf>
    <xf numFmtId="0" fontId="31" fillId="2" borderId="62" xfId="6" applyFont="1" applyFill="1" applyBorder="1" applyAlignment="1">
      <alignment horizontal="center" vertical="center"/>
    </xf>
    <xf numFmtId="169" fontId="80" fillId="7" borderId="103" xfId="6" applyNumberFormat="1" applyFont="1" applyFill="1" applyBorder="1" applyAlignment="1">
      <alignment horizontal="center" vertical="center" wrapText="1"/>
    </xf>
    <xf numFmtId="0" fontId="80" fillId="7" borderId="104" xfId="6" applyFont="1" applyFill="1" applyBorder="1" applyAlignment="1">
      <alignment horizontal="center" vertical="center" wrapText="1"/>
    </xf>
    <xf numFmtId="2" fontId="4" fillId="3" borderId="41" xfId="6" applyNumberFormat="1" applyFont="1" applyFill="1" applyBorder="1" applyAlignment="1">
      <alignment horizontal="center" vertical="center"/>
    </xf>
    <xf numFmtId="177" fontId="37" fillId="4" borderId="93" xfId="4" applyNumberFormat="1" applyFont="1" applyFill="1" applyBorder="1" applyAlignment="1">
      <alignment horizontal="center" vertical="center"/>
    </xf>
    <xf numFmtId="166" fontId="75" fillId="0" borderId="59" xfId="6" applyNumberFormat="1" applyFont="1" applyBorder="1" applyAlignment="1">
      <alignment horizontal="center" vertical="center"/>
    </xf>
    <xf numFmtId="0" fontId="23" fillId="3" borderId="0" xfId="6" applyFont="1" applyFill="1" applyBorder="1" applyAlignment="1">
      <alignment horizontal="center"/>
    </xf>
    <xf numFmtId="0" fontId="22" fillId="15" borderId="61" xfId="6" applyFont="1" applyFill="1" applyBorder="1" applyAlignment="1">
      <alignment horizontal="center" vertical="center"/>
    </xf>
    <xf numFmtId="0" fontId="22" fillId="15" borderId="62" xfId="6" applyFont="1" applyFill="1" applyBorder="1" applyAlignment="1">
      <alignment horizontal="center" vertical="center" wrapText="1"/>
    </xf>
    <xf numFmtId="0" fontId="81" fillId="15" borderId="62" xfId="6" applyFont="1" applyFill="1" applyBorder="1" applyAlignment="1">
      <alignment horizontal="center" vertical="center" wrapText="1"/>
    </xf>
    <xf numFmtId="0" fontId="22" fillId="15" borderId="105" xfId="6" applyFont="1" applyFill="1" applyBorder="1" applyAlignment="1">
      <alignment horizontal="center" vertical="center" wrapText="1"/>
    </xf>
    <xf numFmtId="0" fontId="22" fillId="15" borderId="75" xfId="6" applyFont="1" applyFill="1" applyBorder="1" applyAlignment="1">
      <alignment horizontal="center" vertical="center" wrapText="1"/>
    </xf>
    <xf numFmtId="0" fontId="22" fillId="3" borderId="0" xfId="6" applyFont="1" applyFill="1" applyBorder="1" applyAlignment="1">
      <alignment horizontal="center" vertical="center" wrapText="1"/>
    </xf>
    <xf numFmtId="0" fontId="1" fillId="0" borderId="49" xfId="6" applyFont="1" applyFill="1" applyBorder="1" applyAlignment="1">
      <alignment horizontal="center" vertical="center"/>
    </xf>
    <xf numFmtId="0" fontId="21" fillId="0" borderId="49" xfId="6" applyFont="1" applyBorder="1" applyAlignment="1">
      <alignment horizontal="center" vertical="center"/>
    </xf>
    <xf numFmtId="2" fontId="21" fillId="0" borderId="49" xfId="6" applyNumberFormat="1" applyFont="1" applyBorder="1" applyAlignment="1">
      <alignment horizontal="center" vertical="center"/>
    </xf>
    <xf numFmtId="166" fontId="21" fillId="0" borderId="49" xfId="6" applyNumberFormat="1" applyFont="1" applyBorder="1" applyAlignment="1">
      <alignment horizontal="center" vertical="center"/>
    </xf>
    <xf numFmtId="164" fontId="83" fillId="0" borderId="49" xfId="6" applyNumberFormat="1" applyFont="1" applyBorder="1" applyAlignment="1">
      <alignment horizontal="center" vertical="center"/>
    </xf>
    <xf numFmtId="172" fontId="70" fillId="0" borderId="49" xfId="6" applyNumberFormat="1" applyFont="1" applyBorder="1" applyAlignment="1">
      <alignment horizontal="center" vertical="center"/>
    </xf>
    <xf numFmtId="2" fontId="13" fillId="0" borderId="49" xfId="6" applyNumberFormat="1" applyBorder="1" applyAlignment="1">
      <alignment horizontal="center" vertical="center"/>
    </xf>
    <xf numFmtId="10" fontId="13" fillId="0" borderId="106" xfId="6" applyNumberFormat="1" applyBorder="1" applyAlignment="1">
      <alignment vertical="center"/>
    </xf>
    <xf numFmtId="10" fontId="13" fillId="0" borderId="0" xfId="6" applyNumberFormat="1" applyBorder="1" applyAlignment="1">
      <alignment horizontal="center" vertical="center"/>
    </xf>
    <xf numFmtId="2" fontId="21" fillId="0" borderId="41" xfId="6" applyNumberFormat="1" applyFont="1" applyBorder="1" applyAlignment="1">
      <alignment horizontal="center" vertical="center"/>
    </xf>
    <xf numFmtId="172" fontId="70" fillId="0" borderId="41" xfId="6" applyNumberFormat="1" applyFont="1" applyBorder="1" applyAlignment="1">
      <alignment horizontal="center" vertical="center"/>
    </xf>
    <xf numFmtId="0" fontId="21" fillId="0" borderId="41" xfId="6" applyFont="1" applyBorder="1" applyAlignment="1">
      <alignment horizontal="center" vertical="center"/>
    </xf>
    <xf numFmtId="2" fontId="21" fillId="0" borderId="41" xfId="6" applyNumberFormat="1" applyFont="1" applyBorder="1" applyAlignment="1">
      <alignment horizontal="center"/>
    </xf>
    <xf numFmtId="166" fontId="21" fillId="0" borderId="41" xfId="6" applyNumberFormat="1" applyFont="1" applyBorder="1" applyAlignment="1">
      <alignment horizontal="center" vertical="center"/>
    </xf>
    <xf numFmtId="10" fontId="13" fillId="0" borderId="106" xfId="6" applyNumberFormat="1" applyBorder="1" applyAlignment="1">
      <alignment vertical="center" wrapText="1"/>
    </xf>
    <xf numFmtId="10" fontId="13" fillId="0" borderId="0" xfId="6" applyNumberFormat="1" applyBorder="1" applyAlignment="1">
      <alignment horizontal="center" vertical="center" wrapText="1"/>
    </xf>
    <xf numFmtId="2" fontId="83" fillId="0" borderId="41" xfId="6" applyNumberFormat="1" applyFont="1" applyBorder="1" applyAlignment="1">
      <alignment horizontal="center" vertical="center"/>
    </xf>
    <xf numFmtId="2" fontId="83" fillId="0" borderId="49" xfId="6" applyNumberFormat="1" applyFont="1" applyBorder="1" applyAlignment="1">
      <alignment horizontal="center" vertical="center"/>
    </xf>
    <xf numFmtId="164" fontId="83" fillId="0" borderId="41" xfId="6" applyNumberFormat="1" applyFont="1" applyBorder="1" applyAlignment="1">
      <alignment horizontal="center" vertical="center"/>
    </xf>
    <xf numFmtId="166" fontId="21" fillId="0" borderId="34" xfId="6" applyNumberFormat="1" applyFont="1" applyBorder="1" applyAlignment="1">
      <alignment horizontal="center" vertical="center"/>
    </xf>
    <xf numFmtId="2" fontId="21" fillId="0" borderId="48" xfId="6" applyNumberFormat="1" applyFont="1" applyBorder="1" applyAlignment="1">
      <alignment horizontal="center" vertical="center"/>
    </xf>
    <xf numFmtId="172" fontId="70" fillId="0" borderId="34" xfId="6" applyNumberFormat="1" applyFont="1" applyBorder="1" applyAlignment="1">
      <alignment horizontal="center" vertical="center"/>
    </xf>
    <xf numFmtId="2" fontId="21" fillId="0" borderId="0" xfId="6" applyNumberFormat="1" applyFont="1" applyBorder="1" applyAlignment="1">
      <alignment horizontal="center" vertical="center"/>
    </xf>
    <xf numFmtId="2" fontId="21" fillId="0" borderId="0" xfId="6" applyNumberFormat="1" applyFont="1" applyBorder="1" applyAlignment="1">
      <alignment horizontal="center"/>
    </xf>
    <xf numFmtId="0" fontId="13" fillId="0" borderId="0" xfId="6" applyBorder="1" applyAlignment="1">
      <alignment horizontal="center" vertical="center"/>
    </xf>
    <xf numFmtId="2" fontId="24" fillId="3" borderId="41" xfId="6" applyNumberFormat="1" applyFont="1" applyFill="1" applyBorder="1" applyAlignment="1">
      <alignment horizontal="center" vertical="center"/>
    </xf>
    <xf numFmtId="2" fontId="22" fillId="3" borderId="41" xfId="6" applyNumberFormat="1" applyFont="1" applyFill="1" applyBorder="1" applyAlignment="1">
      <alignment horizontal="center" vertical="center"/>
    </xf>
    <xf numFmtId="2" fontId="22" fillId="3" borderId="46" xfId="6" applyNumberFormat="1" applyFont="1" applyFill="1" applyBorder="1" applyAlignment="1">
      <alignment horizontal="center" vertical="center"/>
    </xf>
    <xf numFmtId="2" fontId="22" fillId="3" borderId="41" xfId="6" applyNumberFormat="1" applyFont="1" applyFill="1" applyBorder="1" applyAlignment="1">
      <alignment vertical="center"/>
    </xf>
    <xf numFmtId="10" fontId="84" fillId="3" borderId="0" xfId="6" applyNumberFormat="1" applyFont="1" applyFill="1" applyBorder="1" applyAlignment="1">
      <alignment horizontal="center" vertical="center"/>
    </xf>
    <xf numFmtId="2" fontId="24" fillId="0" borderId="41" xfId="6" applyNumberFormat="1" applyFont="1" applyBorder="1" applyAlignment="1">
      <alignment horizontal="center" vertical="center"/>
    </xf>
    <xf numFmtId="2" fontId="22" fillId="0" borderId="41" xfId="6" applyNumberFormat="1" applyFont="1" applyBorder="1" applyAlignment="1">
      <alignment horizontal="center" vertical="center"/>
    </xf>
    <xf numFmtId="165" fontId="21" fillId="0" borderId="41" xfId="6" applyNumberFormat="1" applyFont="1" applyBorder="1" applyAlignment="1">
      <alignment horizontal="center" vertical="center"/>
    </xf>
    <xf numFmtId="2" fontId="22" fillId="3" borderId="44" xfId="6" applyNumberFormat="1" applyFont="1" applyFill="1" applyBorder="1" applyAlignment="1">
      <alignment horizontal="center" vertical="center"/>
    </xf>
    <xf numFmtId="0" fontId="24" fillId="0" borderId="41" xfId="6" applyFont="1" applyBorder="1" applyAlignment="1">
      <alignment horizontal="center" vertical="center"/>
    </xf>
    <xf numFmtId="2" fontId="24" fillId="0" borderId="41" xfId="6" applyNumberFormat="1" applyFont="1" applyBorder="1" applyAlignment="1">
      <alignment horizontal="center"/>
    </xf>
    <xf numFmtId="2" fontId="22" fillId="0" borderId="41" xfId="6" applyNumberFormat="1" applyFont="1" applyBorder="1" applyAlignment="1">
      <alignment horizontal="center"/>
    </xf>
    <xf numFmtId="2" fontId="22" fillId="3" borderId="44" xfId="6" applyNumberFormat="1" applyFont="1" applyFill="1" applyBorder="1" applyAlignment="1">
      <alignment horizontal="center"/>
    </xf>
    <xf numFmtId="0" fontId="13" fillId="3" borderId="0" xfId="6" applyFill="1"/>
    <xf numFmtId="1" fontId="21" fillId="0" borderId="49" xfId="6" applyNumberFormat="1" applyFont="1" applyBorder="1" applyAlignment="1">
      <alignment horizontal="center" vertical="center"/>
    </xf>
    <xf numFmtId="2" fontId="13" fillId="3" borderId="0" xfId="6" applyNumberFormat="1" applyFill="1" applyBorder="1" applyAlignment="1">
      <alignment horizontal="center" vertical="center"/>
    </xf>
    <xf numFmtId="2" fontId="13" fillId="0" borderId="0" xfId="6" applyNumberFormat="1" applyBorder="1" applyAlignment="1">
      <alignment horizontal="center" vertical="center"/>
    </xf>
    <xf numFmtId="1" fontId="21" fillId="0" borderId="41" xfId="6" applyNumberFormat="1" applyFont="1" applyBorder="1" applyAlignment="1">
      <alignment horizontal="center" vertical="center"/>
    </xf>
    <xf numFmtId="2" fontId="84" fillId="3" borderId="0" xfId="6" applyNumberFormat="1" applyFont="1" applyFill="1" applyBorder="1" applyAlignment="1">
      <alignment horizontal="center" vertical="center"/>
    </xf>
    <xf numFmtId="165" fontId="22" fillId="0" borderId="41" xfId="6" applyNumberFormat="1" applyFont="1" applyBorder="1" applyAlignment="1">
      <alignment horizontal="center" vertical="center"/>
    </xf>
    <xf numFmtId="1" fontId="24" fillId="0" borderId="41" xfId="6" applyNumberFormat="1" applyFont="1" applyBorder="1" applyAlignment="1">
      <alignment horizontal="center" vertical="center"/>
    </xf>
    <xf numFmtId="0" fontId="22" fillId="0" borderId="41" xfId="6" applyFont="1" applyBorder="1"/>
    <xf numFmtId="2" fontId="84" fillId="3" borderId="0" xfId="6" applyNumberFormat="1" applyFont="1" applyFill="1" applyBorder="1" applyAlignment="1">
      <alignment horizontal="center"/>
    </xf>
    <xf numFmtId="9" fontId="21" fillId="3" borderId="0" xfId="6" applyNumberFormat="1" applyFont="1" applyFill="1" applyBorder="1" applyAlignment="1">
      <alignment horizontal="center" vertical="center"/>
    </xf>
    <xf numFmtId="0" fontId="13" fillId="3" borderId="0" xfId="6" applyFill="1" applyBorder="1" applyAlignment="1">
      <alignment horizontal="center" vertical="center"/>
    </xf>
    <xf numFmtId="0" fontId="35" fillId="0" borderId="41" xfId="6" applyFont="1" applyFill="1" applyBorder="1" applyAlignment="1">
      <alignment horizontal="center" vertical="center"/>
    </xf>
    <xf numFmtId="0" fontId="35" fillId="0" borderId="41" xfId="6" applyFont="1" applyFill="1" applyBorder="1" applyAlignment="1">
      <alignment horizontal="center" vertical="center" wrapText="1"/>
    </xf>
    <xf numFmtId="0" fontId="82" fillId="0" borderId="0" xfId="6" applyFont="1" applyAlignment="1"/>
    <xf numFmtId="43" fontId="85" fillId="0" borderId="44" xfId="4" applyFont="1" applyFill="1" applyBorder="1" applyAlignment="1" applyProtection="1">
      <alignment horizontal="center" vertical="center"/>
      <protection locked="0"/>
    </xf>
    <xf numFmtId="0" fontId="57" fillId="0" borderId="34" xfId="6" applyFont="1" applyBorder="1" applyAlignment="1">
      <alignment horizontal="center" vertical="center" wrapText="1"/>
    </xf>
    <xf numFmtId="2" fontId="13" fillId="3" borderId="0" xfId="6" applyNumberFormat="1" applyFill="1" applyBorder="1" applyAlignment="1">
      <alignment horizontal="center" vertical="center"/>
    </xf>
    <xf numFmtId="0" fontId="4" fillId="2" borderId="29" xfId="0" applyFont="1" applyFill="1" applyBorder="1"/>
    <xf numFmtId="0" fontId="4" fillId="2" borderId="30" xfId="0" applyFont="1" applyFill="1" applyBorder="1"/>
    <xf numFmtId="0" fontId="4" fillId="2" borderId="59" xfId="0" applyFont="1" applyFill="1" applyBorder="1"/>
    <xf numFmtId="0" fontId="42" fillId="3" borderId="76" xfId="0" applyFont="1" applyFill="1" applyBorder="1"/>
    <xf numFmtId="0" fontId="42" fillId="3" borderId="0" xfId="0" applyFont="1" applyFill="1" applyBorder="1"/>
    <xf numFmtId="0" fontId="42" fillId="3" borderId="77" xfId="0" applyFont="1" applyFill="1" applyBorder="1"/>
    <xf numFmtId="0" fontId="42" fillId="3" borderId="29" xfId="0" applyFont="1" applyFill="1" applyBorder="1"/>
    <xf numFmtId="0" fontId="42" fillId="3" borderId="30" xfId="0" applyFont="1" applyFill="1" applyBorder="1"/>
    <xf numFmtId="0" fontId="42" fillId="3" borderId="59" xfId="0" applyFont="1" applyFill="1" applyBorder="1"/>
    <xf numFmtId="176" fontId="42" fillId="3" borderId="0" xfId="4" applyNumberFormat="1" applyFont="1" applyFill="1" applyBorder="1"/>
    <xf numFmtId="2" fontId="13" fillId="0" borderId="74" xfId="6" applyNumberFormat="1" applyBorder="1" applyAlignment="1">
      <alignment horizontal="center" vertical="center"/>
    </xf>
    <xf numFmtId="0" fontId="22" fillId="3" borderId="41" xfId="6" applyFont="1" applyFill="1" applyBorder="1" applyAlignment="1">
      <alignment horizontal="center" vertical="center" wrapText="1"/>
    </xf>
    <xf numFmtId="0" fontId="0" fillId="3" borderId="0" xfId="6" applyFont="1" applyFill="1" applyAlignment="1">
      <alignment horizontal="left" vertical="center" wrapText="1"/>
    </xf>
    <xf numFmtId="0" fontId="1" fillId="3" borderId="0" xfId="6" applyFont="1" applyFill="1" applyAlignment="1">
      <alignment horizontal="left" vertical="center" wrapText="1"/>
    </xf>
    <xf numFmtId="0" fontId="23" fillId="15" borderId="4" xfId="6" applyFont="1" applyFill="1" applyBorder="1" applyAlignment="1"/>
    <xf numFmtId="0" fontId="23" fillId="3" borderId="0" xfId="6" applyFont="1" applyFill="1" applyBorder="1" applyAlignment="1"/>
    <xf numFmtId="0" fontId="82" fillId="3" borderId="0" xfId="6" applyFont="1" applyFill="1" applyBorder="1" applyAlignment="1">
      <alignment wrapText="1"/>
    </xf>
    <xf numFmtId="0" fontId="82" fillId="3" borderId="0" xfId="6" applyFont="1" applyFill="1" applyBorder="1" applyAlignment="1"/>
    <xf numFmtId="0" fontId="29" fillId="5" borderId="33" xfId="6" applyFont="1" applyFill="1" applyBorder="1" applyAlignment="1">
      <alignment horizontal="left" vertical="center" wrapText="1"/>
    </xf>
    <xf numFmtId="171" fontId="29" fillId="5" borderId="107" xfId="8" applyNumberFormat="1" applyFont="1" applyFill="1" applyBorder="1" applyAlignment="1">
      <alignment horizontal="right"/>
    </xf>
    <xf numFmtId="10" fontId="1" fillId="3" borderId="0" xfId="5" applyNumberFormat="1" applyFont="1" applyFill="1" applyBorder="1" applyAlignment="1">
      <alignment horizontal="center"/>
    </xf>
    <xf numFmtId="10" fontId="4" fillId="3" borderId="43" xfId="6" applyNumberFormat="1" applyFont="1" applyFill="1" applyBorder="1" applyAlignment="1">
      <alignment horizontal="center"/>
    </xf>
    <xf numFmtId="43" fontId="0" fillId="0" borderId="31" xfId="6" applyNumberFormat="1" applyFont="1" applyFill="1" applyBorder="1" applyAlignment="1">
      <alignment horizontal="center"/>
    </xf>
    <xf numFmtId="43" fontId="0" fillId="0" borderId="41" xfId="6" applyNumberFormat="1" applyFont="1" applyFill="1" applyBorder="1" applyAlignment="1">
      <alignment horizontal="center"/>
    </xf>
    <xf numFmtId="0" fontId="36" fillId="5" borderId="0" xfId="6" applyFont="1" applyFill="1" applyBorder="1" applyAlignment="1">
      <alignment horizontal="center"/>
    </xf>
    <xf numFmtId="171" fontId="36" fillId="5" borderId="0" xfId="4" applyNumberFormat="1" applyFont="1" applyFill="1" applyBorder="1" applyAlignment="1">
      <alignment horizontal="center" vertical="center"/>
    </xf>
    <xf numFmtId="2" fontId="4" fillId="3" borderId="0" xfId="6" applyNumberFormat="1" applyFont="1" applyFill="1" applyBorder="1" applyAlignment="1">
      <alignment horizontal="center" vertical="center"/>
    </xf>
    <xf numFmtId="173" fontId="36" fillId="4" borderId="0" xfId="4" applyNumberFormat="1" applyFont="1" applyFill="1" applyBorder="1" applyAlignment="1">
      <alignment horizontal="center" vertical="center"/>
    </xf>
    <xf numFmtId="2" fontId="21" fillId="0" borderId="48" xfId="6" applyNumberFormat="1" applyFont="1" applyBorder="1" applyAlignment="1">
      <alignment horizontal="center" vertical="center"/>
    </xf>
    <xf numFmtId="2" fontId="21" fillId="0" borderId="49" xfId="6" applyNumberFormat="1" applyFont="1" applyBorder="1" applyAlignment="1">
      <alignment horizontal="center" vertical="center"/>
    </xf>
    <xf numFmtId="2" fontId="13" fillId="0" borderId="49" xfId="6" applyNumberFormat="1" applyBorder="1" applyAlignment="1">
      <alignment horizontal="center" vertical="center"/>
    </xf>
    <xf numFmtId="0" fontId="21" fillId="0" borderId="49" xfId="6" applyFont="1" applyBorder="1" applyAlignment="1">
      <alignment horizontal="center" vertical="center"/>
    </xf>
    <xf numFmtId="0" fontId="57" fillId="0" borderId="34" xfId="6" applyFont="1" applyBorder="1" applyAlignment="1">
      <alignment horizontal="center" vertical="center" wrapText="1"/>
    </xf>
    <xf numFmtId="43" fontId="4" fillId="3" borderId="0" xfId="6" applyNumberFormat="1" applyFont="1" applyFill="1" applyBorder="1"/>
    <xf numFmtId="0" fontId="36" fillId="3" borderId="0" xfId="6" applyFont="1" applyFill="1" applyBorder="1" applyAlignment="1">
      <alignment wrapText="1"/>
    </xf>
    <xf numFmtId="43" fontId="1" fillId="3" borderId="0" xfId="6" applyNumberFormat="1" applyFont="1" applyFill="1" applyBorder="1" applyAlignment="1">
      <alignment horizontal="center" vertical="center"/>
    </xf>
    <xf numFmtId="4" fontId="1" fillId="3" borderId="0" xfId="6" applyNumberFormat="1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59" fillId="2" borderId="19" xfId="6" applyFont="1" applyFill="1" applyBorder="1" applyAlignment="1">
      <alignment horizontal="center" vertical="center" wrapText="1"/>
    </xf>
    <xf numFmtId="0" fontId="42" fillId="3" borderId="108" xfId="6" applyFont="1" applyFill="1" applyBorder="1"/>
    <xf numFmtId="0" fontId="42" fillId="3" borderId="109" xfId="6" applyFont="1" applyFill="1" applyBorder="1"/>
    <xf numFmtId="43" fontId="42" fillId="3" borderId="109" xfId="4" applyFont="1" applyFill="1" applyBorder="1"/>
    <xf numFmtId="0" fontId="42" fillId="3" borderId="110" xfId="6" applyFont="1" applyFill="1" applyBorder="1"/>
    <xf numFmtId="0" fontId="42" fillId="3" borderId="47" xfId="6" applyFont="1" applyFill="1" applyBorder="1"/>
    <xf numFmtId="0" fontId="42" fillId="3" borderId="46" xfId="6" applyFont="1" applyFill="1" applyBorder="1"/>
    <xf numFmtId="43" fontId="42" fillId="3" borderId="46" xfId="4" applyFont="1" applyFill="1" applyBorder="1"/>
    <xf numFmtId="0" fontId="42" fillId="3" borderId="60" xfId="6" applyFont="1" applyFill="1" applyBorder="1"/>
    <xf numFmtId="0" fontId="36" fillId="9" borderId="20" xfId="6" applyFont="1" applyFill="1" applyBorder="1" applyAlignment="1">
      <alignment horizontal="center" vertical="center"/>
    </xf>
    <xf numFmtId="4" fontId="37" fillId="10" borderId="44" xfId="9" applyNumberFormat="1" applyFont="1" applyFill="1" applyBorder="1" applyAlignment="1">
      <alignment horizontal="center" vertical="center"/>
    </xf>
    <xf numFmtId="3" fontId="37" fillId="10" borderId="44" xfId="9" applyNumberFormat="1" applyFont="1" applyFill="1" applyBorder="1" applyAlignment="1">
      <alignment horizontal="center" vertical="center"/>
    </xf>
    <xf numFmtId="4" fontId="37" fillId="10" borderId="73" xfId="9" applyNumberFormat="1" applyFont="1" applyFill="1" applyBorder="1" applyAlignment="1">
      <alignment horizontal="center" vertical="center"/>
    </xf>
    <xf numFmtId="0" fontId="36" fillId="10" borderId="39" xfId="6" applyFont="1" applyFill="1" applyBorder="1" applyAlignment="1">
      <alignment horizontal="left" vertical="center" wrapText="1"/>
    </xf>
    <xf numFmtId="4" fontId="37" fillId="10" borderId="40" xfId="9" applyNumberFormat="1" applyFont="1" applyFill="1" applyBorder="1" applyAlignment="1">
      <alignment horizontal="center" vertical="center"/>
    </xf>
    <xf numFmtId="2" fontId="22" fillId="3" borderId="34" xfId="6" applyNumberFormat="1" applyFont="1" applyFill="1" applyBorder="1" applyAlignment="1">
      <alignment vertical="center"/>
    </xf>
    <xf numFmtId="2" fontId="22" fillId="3" borderId="48" xfId="6" applyNumberFormat="1" applyFont="1" applyFill="1" applyBorder="1" applyAlignment="1">
      <alignment vertical="center"/>
    </xf>
    <xf numFmtId="2" fontId="22" fillId="3" borderId="49" xfId="6" applyNumberFormat="1" applyFont="1" applyFill="1" applyBorder="1" applyAlignment="1">
      <alignment vertical="center"/>
    </xf>
    <xf numFmtId="43" fontId="37" fillId="10" borderId="44" xfId="9" applyNumberFormat="1" applyFont="1" applyFill="1" applyBorder="1" applyAlignment="1">
      <alignment horizontal="center" vertical="center"/>
    </xf>
    <xf numFmtId="0" fontId="86" fillId="0" borderId="43" xfId="6" applyFont="1" applyBorder="1" applyAlignment="1">
      <alignment horizontal="center" vertical="center"/>
    </xf>
    <xf numFmtId="10" fontId="60" fillId="0" borderId="10" xfId="5" applyNumberFormat="1" applyFont="1" applyBorder="1" applyAlignment="1">
      <alignment horizontal="center" vertical="center"/>
    </xf>
    <xf numFmtId="10" fontId="60" fillId="0" borderId="70" xfId="5" applyNumberFormat="1" applyFont="1" applyBorder="1" applyAlignment="1">
      <alignment horizontal="center" vertical="center"/>
    </xf>
    <xf numFmtId="1" fontId="14" fillId="3" borderId="46" xfId="4" applyNumberFormat="1" applyFont="1" applyFill="1" applyBorder="1" applyAlignment="1">
      <alignment horizontal="center" vertical="center" wrapText="1"/>
    </xf>
    <xf numFmtId="3" fontId="14" fillId="3" borderId="73" xfId="2" applyNumberFormat="1" applyFont="1" applyFill="1" applyBorder="1" applyAlignment="1">
      <alignment horizontal="center" vertical="center" wrapText="1"/>
    </xf>
    <xf numFmtId="1" fontId="14" fillId="3" borderId="85" xfId="4" applyNumberFormat="1" applyFont="1" applyFill="1" applyBorder="1" applyAlignment="1">
      <alignment horizontal="center" vertical="center" wrapText="1"/>
    </xf>
    <xf numFmtId="1" fontId="14" fillId="3" borderId="84" xfId="4" applyNumberFormat="1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center"/>
    </xf>
    <xf numFmtId="3" fontId="17" fillId="3" borderId="0" xfId="4" applyNumberFormat="1" applyFont="1" applyFill="1" applyBorder="1" applyAlignment="1">
      <alignment horizontal="center" vertical="center" wrapText="1"/>
    </xf>
    <xf numFmtId="1" fontId="15" fillId="3" borderId="85" xfId="4" applyNumberFormat="1" applyFont="1" applyFill="1" applyBorder="1" applyAlignment="1">
      <alignment horizontal="center" wrapText="1"/>
    </xf>
    <xf numFmtId="3" fontId="17" fillId="3" borderId="17" xfId="4" applyNumberFormat="1" applyFont="1" applyFill="1" applyBorder="1" applyAlignment="1">
      <alignment horizontal="center" vertical="center" wrapText="1"/>
    </xf>
    <xf numFmtId="1" fontId="14" fillId="3" borderId="60" xfId="4" applyNumberFormat="1" applyFont="1" applyFill="1" applyBorder="1" applyAlignment="1">
      <alignment horizontal="center" vertical="center" wrapText="1"/>
    </xf>
    <xf numFmtId="3" fontId="14" fillId="3" borderId="112" xfId="2" applyNumberFormat="1" applyFont="1" applyFill="1" applyBorder="1" applyAlignment="1">
      <alignment horizontal="center" vertical="center" wrapText="1"/>
    </xf>
    <xf numFmtId="0" fontId="56" fillId="0" borderId="0" xfId="2" applyFont="1" applyBorder="1" applyAlignment="1">
      <alignment horizontal="center" vertical="center"/>
    </xf>
    <xf numFmtId="0" fontId="57" fillId="0" borderId="0" xfId="2" applyFont="1" applyBorder="1" applyAlignment="1">
      <alignment horizontal="center" vertical="center"/>
    </xf>
    <xf numFmtId="3" fontId="14" fillId="3" borderId="113" xfId="4" applyNumberFormat="1" applyFont="1" applyFill="1" applyBorder="1" applyAlignment="1">
      <alignment horizontal="center" vertical="center"/>
    </xf>
    <xf numFmtId="0" fontId="87" fillId="0" borderId="60" xfId="2" applyFont="1" applyBorder="1" applyAlignment="1">
      <alignment horizontal="center" vertical="center"/>
    </xf>
    <xf numFmtId="3" fontId="1" fillId="0" borderId="0" xfId="2" applyNumberFormat="1"/>
    <xf numFmtId="0" fontId="56" fillId="0" borderId="0" xfId="2" applyFont="1" applyBorder="1" applyAlignment="1">
      <alignment horizontal="center"/>
    </xf>
    <xf numFmtId="167" fontId="14" fillId="3" borderId="112" xfId="2" applyNumberFormat="1" applyFont="1" applyFill="1" applyBorder="1" applyAlignment="1">
      <alignment horizontal="center" vertical="center" wrapText="1"/>
    </xf>
    <xf numFmtId="0" fontId="0" fillId="0" borderId="41" xfId="0" applyBorder="1"/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1" xfId="0" applyBorder="1" applyAlignment="1">
      <alignment vertical="center"/>
    </xf>
    <xf numFmtId="0" fontId="0" fillId="0" borderId="44" xfId="0" applyBorder="1"/>
    <xf numFmtId="0" fontId="0" fillId="0" borderId="41" xfId="0" applyFill="1" applyBorder="1"/>
    <xf numFmtId="16" fontId="0" fillId="0" borderId="41" xfId="0" applyNumberFormat="1" applyBorder="1"/>
    <xf numFmtId="0" fontId="0" fillId="0" borderId="34" xfId="0" applyBorder="1"/>
    <xf numFmtId="10" fontId="31" fillId="3" borderId="32" xfId="5" applyNumberFormat="1" applyFont="1" applyFill="1" applyBorder="1" applyAlignment="1">
      <alignment horizontal="center" vertical="center" wrapText="1"/>
    </xf>
    <xf numFmtId="0" fontId="29" fillId="5" borderId="0" xfId="6" applyFont="1" applyFill="1" applyBorder="1" applyAlignment="1">
      <alignment horizontal="left" vertical="center" wrapText="1"/>
    </xf>
    <xf numFmtId="171" fontId="29" fillId="5" borderId="0" xfId="8" applyNumberFormat="1" applyFont="1" applyFill="1" applyBorder="1" applyAlignment="1">
      <alignment horizontal="right"/>
    </xf>
    <xf numFmtId="0" fontId="56" fillId="0" borderId="49" xfId="6" applyFont="1" applyBorder="1" applyAlignment="1">
      <alignment horizontal="center" vertical="center" wrapText="1"/>
    </xf>
    <xf numFmtId="0" fontId="57" fillId="0" borderId="44" xfId="6" applyFont="1" applyBorder="1" applyAlignment="1">
      <alignment horizontal="center" vertical="center" wrapText="1"/>
    </xf>
    <xf numFmtId="0" fontId="57" fillId="0" borderId="70" xfId="6" applyFont="1" applyBorder="1" applyAlignment="1">
      <alignment horizontal="center" vertical="center" wrapText="1"/>
    </xf>
    <xf numFmtId="0" fontId="57" fillId="0" borderId="48" xfId="6" applyFont="1" applyBorder="1" applyAlignment="1">
      <alignment horizontal="center" vertical="center" wrapText="1"/>
    </xf>
    <xf numFmtId="0" fontId="57" fillId="0" borderId="49" xfId="6" applyFont="1" applyBorder="1" applyAlignment="1">
      <alignment horizontal="center" vertical="center" wrapText="1"/>
    </xf>
    <xf numFmtId="0" fontId="57" fillId="0" borderId="41" xfId="6" applyFont="1" applyBorder="1" applyAlignment="1">
      <alignment horizontal="center" vertical="center" wrapText="1"/>
    </xf>
    <xf numFmtId="0" fontId="4" fillId="2" borderId="4" xfId="6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/>
    </xf>
    <xf numFmtId="0" fontId="39" fillId="2" borderId="6" xfId="3" applyFont="1" applyFill="1" applyBorder="1" applyAlignment="1">
      <alignment horizontal="center" vertical="center" wrapText="1"/>
    </xf>
    <xf numFmtId="0" fontId="39" fillId="2" borderId="19" xfId="3" applyFont="1" applyFill="1" applyBorder="1" applyAlignment="1">
      <alignment horizontal="center" vertical="center" wrapText="1"/>
    </xf>
    <xf numFmtId="0" fontId="39" fillId="2" borderId="7" xfId="3" applyFont="1" applyFill="1" applyBorder="1" applyAlignment="1">
      <alignment horizontal="center" vertical="center" wrapText="1"/>
    </xf>
    <xf numFmtId="0" fontId="39" fillId="2" borderId="9" xfId="3" applyFont="1" applyFill="1" applyBorder="1" applyAlignment="1">
      <alignment horizontal="center" vertical="center" wrapText="1"/>
    </xf>
    <xf numFmtId="3" fontId="35" fillId="3" borderId="6" xfId="3" applyNumberFormat="1" applyFont="1" applyFill="1" applyBorder="1" applyAlignment="1">
      <alignment horizontal="center" vertical="center"/>
    </xf>
    <xf numFmtId="4" fontId="35" fillId="3" borderId="19" xfId="3" applyNumberFormat="1" applyFont="1" applyFill="1" applyBorder="1" applyAlignment="1">
      <alignment horizontal="center" vertical="center"/>
    </xf>
    <xf numFmtId="2" fontId="43" fillId="3" borderId="41" xfId="2" applyNumberFormat="1" applyFont="1" applyFill="1" applyBorder="1"/>
    <xf numFmtId="0" fontId="3" fillId="3" borderId="0" xfId="6" applyFont="1" applyFill="1" applyAlignment="1">
      <alignment vertical="center"/>
    </xf>
    <xf numFmtId="2" fontId="3" fillId="3" borderId="0" xfId="6" applyNumberFormat="1" applyFont="1" applyFill="1" applyAlignment="1">
      <alignment vertical="center"/>
    </xf>
    <xf numFmtId="2" fontId="9" fillId="3" borderId="34" xfId="6" applyNumberFormat="1" applyFont="1" applyFill="1" applyBorder="1" applyAlignment="1">
      <alignment horizontal="center" vertical="center"/>
    </xf>
    <xf numFmtId="2" fontId="88" fillId="2" borderId="43" xfId="6" applyNumberFormat="1" applyFont="1" applyFill="1" applyBorder="1" applyAlignment="1">
      <alignment horizontal="center" vertical="center"/>
    </xf>
    <xf numFmtId="3" fontId="42" fillId="3" borderId="0" xfId="2" applyNumberFormat="1" applyFont="1" applyFill="1"/>
    <xf numFmtId="4" fontId="35" fillId="3" borderId="16" xfId="3" applyNumberFormat="1" applyFont="1" applyFill="1" applyBorder="1" applyAlignment="1">
      <alignment horizontal="center" vertical="center"/>
    </xf>
    <xf numFmtId="0" fontId="38" fillId="3" borderId="76" xfId="6" applyFont="1" applyFill="1" applyBorder="1"/>
    <xf numFmtId="0" fontId="38" fillId="3" borderId="0" xfId="6" applyFont="1" applyFill="1" applyBorder="1"/>
    <xf numFmtId="43" fontId="38" fillId="3" borderId="0" xfId="4" applyFont="1" applyFill="1" applyBorder="1"/>
    <xf numFmtId="0" fontId="38" fillId="3" borderId="77" xfId="6" applyFont="1" applyFill="1" applyBorder="1"/>
    <xf numFmtId="168" fontId="38" fillId="3" borderId="0" xfId="4" applyNumberFormat="1" applyFont="1" applyFill="1" applyBorder="1"/>
    <xf numFmtId="0" fontId="35" fillId="3" borderId="76" xfId="6" applyFont="1" applyFill="1" applyBorder="1"/>
    <xf numFmtId="0" fontId="35" fillId="3" borderId="0" xfId="6" applyFont="1" applyFill="1" applyBorder="1"/>
    <xf numFmtId="0" fontId="35" fillId="3" borderId="0" xfId="6" applyFont="1" applyFill="1" applyBorder="1" applyAlignment="1">
      <alignment horizontal="center" vertical="center"/>
    </xf>
    <xf numFmtId="0" fontId="35" fillId="3" borderId="77" xfId="6" applyFont="1" applyFill="1" applyBorder="1"/>
    <xf numFmtId="43" fontId="35" fillId="3" borderId="0" xfId="6" applyNumberFormat="1" applyFont="1" applyFill="1" applyBorder="1" applyAlignment="1">
      <alignment horizontal="center"/>
    </xf>
    <xf numFmtId="2" fontId="35" fillId="3" borderId="0" xfId="6" applyNumberFormat="1" applyFont="1" applyFill="1" applyBorder="1" applyAlignment="1">
      <alignment horizontal="center"/>
    </xf>
    <xf numFmtId="43" fontId="35" fillId="3" borderId="0" xfId="6" applyNumberFormat="1" applyFont="1" applyFill="1" applyBorder="1"/>
    <xf numFmtId="0" fontId="3" fillId="3" borderId="77" xfId="6" applyFont="1" applyFill="1" applyBorder="1"/>
    <xf numFmtId="0" fontId="38" fillId="3" borderId="23" xfId="6" applyFont="1" applyFill="1" applyBorder="1"/>
    <xf numFmtId="0" fontId="38" fillId="3" borderId="24" xfId="6" applyFont="1" applyFill="1" applyBorder="1"/>
    <xf numFmtId="43" fontId="38" fillId="3" borderId="24" xfId="4" applyFont="1" applyFill="1" applyBorder="1"/>
    <xf numFmtId="0" fontId="38" fillId="3" borderId="25" xfId="6" applyFont="1" applyFill="1" applyBorder="1"/>
    <xf numFmtId="0" fontId="35" fillId="3" borderId="0" xfId="6" applyFont="1" applyFill="1"/>
    <xf numFmtId="2" fontId="35" fillId="3" borderId="0" xfId="6" applyNumberFormat="1" applyFont="1" applyFill="1" applyBorder="1"/>
    <xf numFmtId="170" fontId="38" fillId="3" borderId="24" xfId="4" applyNumberFormat="1" applyFont="1" applyFill="1" applyBorder="1"/>
    <xf numFmtId="0" fontId="4" fillId="16" borderId="41" xfId="13" applyFont="1" applyFill="1" applyBorder="1"/>
    <xf numFmtId="0" fontId="4" fillId="16" borderId="41" xfId="13" applyFont="1" applyFill="1" applyBorder="1" applyAlignment="1">
      <alignment horizontal="center"/>
    </xf>
    <xf numFmtId="0" fontId="1" fillId="0" borderId="0" xfId="13"/>
    <xf numFmtId="0" fontId="1" fillId="0" borderId="41" xfId="13" applyNumberFormat="1" applyBorder="1"/>
    <xf numFmtId="0" fontId="1" fillId="0" borderId="41" xfId="13" applyNumberFormat="1" applyFont="1" applyBorder="1"/>
    <xf numFmtId="0" fontId="1" fillId="3" borderId="41" xfId="13" applyNumberFormat="1" applyFill="1" applyBorder="1"/>
    <xf numFmtId="0" fontId="1" fillId="0" borderId="41" xfId="13" applyBorder="1"/>
    <xf numFmtId="0" fontId="1" fillId="0" borderId="0" xfId="13" applyFont="1"/>
    <xf numFmtId="0" fontId="4" fillId="2" borderId="47" xfId="0" applyFont="1" applyFill="1" applyBorder="1"/>
    <xf numFmtId="0" fontId="4" fillId="2" borderId="46" xfId="0" applyFont="1" applyFill="1" applyBorder="1"/>
    <xf numFmtId="0" fontId="4" fillId="2" borderId="60" xfId="0" applyFont="1" applyFill="1" applyBorder="1"/>
    <xf numFmtId="0" fontId="38" fillId="17" borderId="76" xfId="0" applyFont="1" applyFill="1" applyBorder="1"/>
    <xf numFmtId="0" fontId="38" fillId="17" borderId="0" xfId="0" applyFont="1" applyFill="1" applyBorder="1"/>
    <xf numFmtId="43" fontId="38" fillId="17" borderId="0" xfId="4" applyFont="1" applyFill="1" applyBorder="1"/>
    <xf numFmtId="0" fontId="38" fillId="17" borderId="77" xfId="0" applyFont="1" applyFill="1" applyBorder="1"/>
    <xf numFmtId="168" fontId="38" fillId="17" borderId="0" xfId="4" applyNumberFormat="1" applyFont="1" applyFill="1" applyBorder="1"/>
    <xf numFmtId="0" fontId="42" fillId="17" borderId="0" xfId="0" applyFont="1" applyFill="1" applyBorder="1"/>
    <xf numFmtId="0" fontId="42" fillId="17" borderId="77" xfId="0" applyFont="1" applyFill="1" applyBorder="1"/>
    <xf numFmtId="178" fontId="42" fillId="17" borderId="0" xfId="0" applyNumberFormat="1" applyFont="1" applyFill="1" applyBorder="1"/>
    <xf numFmtId="0" fontId="1" fillId="17" borderId="0" xfId="0" applyFont="1" applyFill="1" applyBorder="1"/>
    <xf numFmtId="0" fontId="1" fillId="17" borderId="77" xfId="0" applyFont="1" applyFill="1" applyBorder="1"/>
    <xf numFmtId="9" fontId="42" fillId="17" borderId="0" xfId="0" applyNumberFormat="1" applyFont="1" applyFill="1" applyBorder="1"/>
    <xf numFmtId="178" fontId="1" fillId="17" borderId="0" xfId="0" applyNumberFormat="1" applyFont="1" applyFill="1" applyBorder="1"/>
    <xf numFmtId="176" fontId="38" fillId="17" borderId="0" xfId="4" applyNumberFormat="1" applyFont="1" applyFill="1" applyBorder="1"/>
    <xf numFmtId="179" fontId="42" fillId="17" borderId="0" xfId="0" applyNumberFormat="1" applyFont="1" applyFill="1" applyBorder="1" applyAlignment="1">
      <alignment horizontal="right"/>
    </xf>
    <xf numFmtId="180" fontId="42" fillId="17" borderId="0" xfId="0" applyNumberFormat="1" applyFont="1" applyFill="1" applyBorder="1"/>
    <xf numFmtId="181" fontId="42" fillId="17" borderId="0" xfId="0" applyNumberFormat="1" applyFont="1" applyFill="1" applyBorder="1"/>
    <xf numFmtId="166" fontId="42" fillId="17" borderId="0" xfId="0" applyNumberFormat="1" applyFont="1" applyFill="1" applyBorder="1"/>
    <xf numFmtId="2" fontId="42" fillId="17" borderId="0" xfId="0" applyNumberFormat="1" applyFont="1" applyFill="1" applyBorder="1"/>
    <xf numFmtId="0" fontId="38" fillId="17" borderId="29" xfId="0" applyFont="1" applyFill="1" applyBorder="1"/>
    <xf numFmtId="0" fontId="38" fillId="17" borderId="30" xfId="0" applyFont="1" applyFill="1" applyBorder="1"/>
    <xf numFmtId="0" fontId="42" fillId="17" borderId="0" xfId="6" applyFont="1" applyFill="1" applyBorder="1"/>
    <xf numFmtId="43" fontId="42" fillId="17" borderId="0" xfId="4" applyFont="1" applyFill="1" applyBorder="1"/>
    <xf numFmtId="0" fontId="38" fillId="17" borderId="47" xfId="0" applyFont="1" applyFill="1" applyBorder="1"/>
    <xf numFmtId="0" fontId="38" fillId="17" borderId="46" xfId="0" applyFont="1" applyFill="1" applyBorder="1"/>
    <xf numFmtId="43" fontId="38" fillId="17" borderId="46" xfId="4" applyFont="1" applyFill="1" applyBorder="1"/>
    <xf numFmtId="0" fontId="38" fillId="17" borderId="60" xfId="0" applyFont="1" applyFill="1" applyBorder="1"/>
    <xf numFmtId="0" fontId="4" fillId="17" borderId="77" xfId="6" applyFont="1" applyFill="1" applyBorder="1"/>
    <xf numFmtId="0" fontId="42" fillId="17" borderId="76" xfId="6" applyFont="1" applyFill="1" applyBorder="1"/>
    <xf numFmtId="0" fontId="42" fillId="17" borderId="77" xfId="6" applyFont="1" applyFill="1" applyBorder="1"/>
    <xf numFmtId="0" fontId="42" fillId="17" borderId="29" xfId="6" applyFont="1" applyFill="1" applyBorder="1"/>
    <xf numFmtId="0" fontId="42" fillId="17" borderId="30" xfId="6" applyFont="1" applyFill="1" applyBorder="1"/>
    <xf numFmtId="43" fontId="42" fillId="17" borderId="30" xfId="4" applyFont="1" applyFill="1" applyBorder="1"/>
    <xf numFmtId="0" fontId="42" fillId="17" borderId="59" xfId="6" applyFont="1" applyFill="1" applyBorder="1"/>
    <xf numFmtId="0" fontId="1" fillId="17" borderId="76" xfId="6" applyFont="1" applyFill="1" applyBorder="1"/>
    <xf numFmtId="0" fontId="1" fillId="17" borderId="0" xfId="6" applyFont="1" applyFill="1" applyBorder="1"/>
    <xf numFmtId="2" fontId="1" fillId="17" borderId="0" xfId="6" applyNumberFormat="1" applyFont="1" applyFill="1" applyBorder="1"/>
    <xf numFmtId="172" fontId="42" fillId="17" borderId="0" xfId="0" applyNumberFormat="1" applyFont="1" applyFill="1" applyBorder="1"/>
    <xf numFmtId="0" fontId="0" fillId="17" borderId="0" xfId="0" applyFont="1" applyFill="1" applyBorder="1"/>
    <xf numFmtId="184" fontId="42" fillId="17" borderId="0" xfId="0" applyNumberFormat="1" applyFont="1" applyFill="1" applyBorder="1"/>
    <xf numFmtId="43" fontId="38" fillId="17" borderId="0" xfId="4" applyNumberFormat="1" applyFont="1" applyFill="1" applyBorder="1"/>
    <xf numFmtId="43" fontId="42" fillId="17" borderId="0" xfId="0" applyNumberFormat="1" applyFont="1" applyFill="1" applyBorder="1"/>
    <xf numFmtId="183" fontId="42" fillId="3" borderId="0" xfId="4" applyNumberFormat="1" applyFont="1" applyFill="1" applyBorder="1"/>
    <xf numFmtId="0" fontId="1" fillId="3" borderId="76" xfId="6" applyFont="1" applyFill="1" applyBorder="1"/>
    <xf numFmtId="2" fontId="1" fillId="3" borderId="0" xfId="6" applyNumberFormat="1" applyFont="1" applyFill="1" applyBorder="1"/>
    <xf numFmtId="0" fontId="38" fillId="3" borderId="0" xfId="0" applyFont="1" applyFill="1" applyBorder="1"/>
    <xf numFmtId="2" fontId="42" fillId="3" borderId="0" xfId="0" applyNumberFormat="1" applyFont="1" applyFill="1" applyBorder="1"/>
    <xf numFmtId="181" fontId="42" fillId="3" borderId="0" xfId="0" applyNumberFormat="1" applyFont="1" applyFill="1" applyBorder="1"/>
    <xf numFmtId="182" fontId="42" fillId="3" borderId="0" xfId="0" applyNumberFormat="1" applyFont="1" applyFill="1" applyBorder="1"/>
    <xf numFmtId="178" fontId="42" fillId="3" borderId="0" xfId="0" applyNumberFormat="1" applyFont="1" applyFill="1" applyBorder="1"/>
    <xf numFmtId="0" fontId="42" fillId="17" borderId="30" xfId="0" applyFont="1" applyFill="1" applyBorder="1"/>
    <xf numFmtId="0" fontId="42" fillId="17" borderId="59" xfId="0" applyFont="1" applyFill="1" applyBorder="1"/>
    <xf numFmtId="0" fontId="14" fillId="0" borderId="41" xfId="6" applyFont="1" applyBorder="1" applyAlignment="1">
      <alignment horizontal="center" vertical="center" wrapText="1"/>
    </xf>
    <xf numFmtId="43" fontId="14" fillId="0" borderId="41" xfId="6" applyNumberFormat="1" applyFont="1" applyBorder="1" applyAlignment="1">
      <alignment horizontal="right" vertical="center"/>
    </xf>
    <xf numFmtId="2" fontId="14" fillId="0" borderId="41" xfId="6" applyNumberFormat="1" applyFont="1" applyBorder="1" applyAlignment="1">
      <alignment horizontal="right" vertical="center"/>
    </xf>
    <xf numFmtId="2" fontId="14" fillId="0" borderId="41" xfId="6" applyNumberFormat="1" applyFont="1" applyBorder="1" applyAlignment="1">
      <alignment horizontal="right" vertical="center" wrapText="1"/>
    </xf>
    <xf numFmtId="43" fontId="14" fillId="0" borderId="41" xfId="6" applyNumberFormat="1" applyFont="1" applyBorder="1" applyAlignment="1">
      <alignment horizontal="right" vertical="center" wrapText="1"/>
    </xf>
    <xf numFmtId="2" fontId="14" fillId="0" borderId="34" xfId="6" applyNumberFormat="1" applyFont="1" applyBorder="1" applyAlignment="1">
      <alignment horizontal="right" vertical="center" wrapText="1"/>
    </xf>
    <xf numFmtId="43" fontId="14" fillId="0" borderId="34" xfId="6" applyNumberFormat="1" applyFont="1" applyBorder="1" applyAlignment="1">
      <alignment horizontal="right" vertical="center" wrapText="1"/>
    </xf>
    <xf numFmtId="43" fontId="57" fillId="0" borderId="44" xfId="6" applyNumberFormat="1" applyFont="1" applyBorder="1" applyAlignment="1">
      <alignment horizontal="center" vertical="center" wrapText="1"/>
    </xf>
    <xf numFmtId="2" fontId="57" fillId="0" borderId="44" xfId="6" applyNumberFormat="1" applyFont="1" applyBorder="1" applyAlignment="1">
      <alignment horizontal="center" vertical="center" wrapText="1"/>
    </xf>
    <xf numFmtId="2" fontId="14" fillId="0" borderId="44" xfId="6" applyNumberFormat="1" applyFont="1" applyBorder="1" applyAlignment="1">
      <alignment horizontal="center" vertical="center" wrapText="1"/>
    </xf>
    <xf numFmtId="0" fontId="14" fillId="0" borderId="114" xfId="6" applyFont="1" applyBorder="1" applyAlignment="1">
      <alignment horizontal="center" vertical="center" wrapText="1"/>
    </xf>
    <xf numFmtId="2" fontId="57" fillId="0" borderId="114" xfId="6" applyNumberFormat="1" applyFont="1" applyBorder="1" applyAlignment="1">
      <alignment horizontal="center" vertical="center" wrapText="1"/>
    </xf>
    <xf numFmtId="2" fontId="14" fillId="0" borderId="114" xfId="6" applyNumberFormat="1" applyFont="1" applyBorder="1" applyAlignment="1">
      <alignment horizontal="center" vertical="center" wrapText="1"/>
    </xf>
    <xf numFmtId="0" fontId="56" fillId="0" borderId="51" xfId="6" applyFont="1" applyBorder="1" applyAlignment="1">
      <alignment horizontal="center" vertical="center" wrapText="1"/>
    </xf>
    <xf numFmtId="0" fontId="57" fillId="0" borderId="49" xfId="6" applyFont="1" applyBorder="1" applyAlignment="1">
      <alignment horizontal="center" vertical="center"/>
    </xf>
    <xf numFmtId="2" fontId="57" fillId="0" borderId="49" xfId="6" applyNumberFormat="1" applyFont="1" applyBorder="1" applyAlignment="1">
      <alignment horizontal="center" vertical="center"/>
    </xf>
    <xf numFmtId="0" fontId="57" fillId="0" borderId="74" xfId="6" applyFont="1" applyBorder="1" applyAlignment="1">
      <alignment horizontal="center" vertical="center" wrapText="1"/>
    </xf>
    <xf numFmtId="0" fontId="54" fillId="2" borderId="16" xfId="6" applyFont="1" applyFill="1" applyBorder="1" applyAlignment="1">
      <alignment horizontal="center" vertical="center" wrapText="1"/>
    </xf>
    <xf numFmtId="0" fontId="54" fillId="2" borderId="73" xfId="6" applyFont="1" applyFill="1" applyBorder="1" applyAlignment="1">
      <alignment horizontal="center" vertical="center" wrapText="1"/>
    </xf>
    <xf numFmtId="0" fontId="54" fillId="2" borderId="16" xfId="6" applyFont="1" applyFill="1" applyBorder="1" applyAlignment="1">
      <alignment horizontal="center" vertical="center"/>
    </xf>
    <xf numFmtId="0" fontId="54" fillId="2" borderId="17" xfId="6" applyFont="1" applyFill="1" applyBorder="1" applyAlignment="1">
      <alignment horizontal="center" vertical="center"/>
    </xf>
    <xf numFmtId="0" fontId="13" fillId="0" borderId="49" xfId="6" applyBorder="1" applyAlignment="1">
      <alignment horizontal="center" vertical="center"/>
    </xf>
    <xf numFmtId="0" fontId="13" fillId="0" borderId="41" xfId="6" applyBorder="1" applyAlignment="1">
      <alignment horizontal="center" vertical="center"/>
    </xf>
    <xf numFmtId="0" fontId="13" fillId="0" borderId="34" xfId="6" applyBorder="1" applyAlignment="1">
      <alignment horizontal="center" vertical="center"/>
    </xf>
    <xf numFmtId="2" fontId="15" fillId="0" borderId="61" xfId="6" applyNumberFormat="1" applyFont="1" applyBorder="1" applyAlignment="1">
      <alignment horizontal="center" vertical="center"/>
    </xf>
    <xf numFmtId="43" fontId="15" fillId="0" borderId="62" xfId="6" applyNumberFormat="1" applyFont="1" applyBorder="1" applyAlignment="1">
      <alignment horizontal="center" vertical="center"/>
    </xf>
    <xf numFmtId="2" fontId="15" fillId="0" borderId="105" xfId="6" applyNumberFormat="1" applyFont="1" applyBorder="1" applyAlignment="1">
      <alignment horizontal="center" vertical="center"/>
    </xf>
    <xf numFmtId="2" fontId="56" fillId="0" borderId="62" xfId="6" applyNumberFormat="1" applyFont="1" applyBorder="1" applyAlignment="1">
      <alignment horizontal="center" vertical="center"/>
    </xf>
    <xf numFmtId="2" fontId="56" fillId="0" borderId="75" xfId="6" applyNumberFormat="1" applyFont="1" applyBorder="1" applyAlignment="1">
      <alignment horizontal="center" vertical="center"/>
    </xf>
    <xf numFmtId="2" fontId="61" fillId="0" borderId="35" xfId="6" applyNumberFormat="1" applyFont="1" applyBorder="1" applyAlignment="1">
      <alignment horizontal="center" vertical="center"/>
    </xf>
    <xf numFmtId="43" fontId="15" fillId="0" borderId="35" xfId="6" applyNumberFormat="1" applyFont="1" applyFill="1" applyBorder="1" applyAlignment="1">
      <alignment horizontal="center" vertical="center" wrapText="1"/>
    </xf>
    <xf numFmtId="2" fontId="61" fillId="0" borderId="30" xfId="6" applyNumberFormat="1" applyFont="1" applyBorder="1" applyAlignment="1">
      <alignment horizontal="center" vertical="center"/>
    </xf>
    <xf numFmtId="2" fontId="56" fillId="0" borderId="31" xfId="6" applyNumberFormat="1" applyFont="1" applyBorder="1" applyAlignment="1">
      <alignment horizontal="center" vertical="center"/>
    </xf>
    <xf numFmtId="2" fontId="56" fillId="0" borderId="115" xfId="6" applyNumberFormat="1" applyFont="1" applyBorder="1" applyAlignment="1">
      <alignment horizontal="center" vertical="center"/>
    </xf>
    <xf numFmtId="2" fontId="38" fillId="3" borderId="0" xfId="4" applyNumberFormat="1" applyFont="1" applyFill="1" applyBorder="1" applyAlignment="1">
      <alignment horizontal="right" vertical="center"/>
    </xf>
    <xf numFmtId="170" fontId="38" fillId="3" borderId="0" xfId="4" applyNumberFormat="1" applyFont="1" applyFill="1" applyBorder="1"/>
    <xf numFmtId="0" fontId="0" fillId="3" borderId="0" xfId="6" applyFont="1" applyFill="1"/>
    <xf numFmtId="43" fontId="1" fillId="3" borderId="0" xfId="6" applyNumberFormat="1" applyFont="1" applyFill="1"/>
    <xf numFmtId="0" fontId="0" fillId="3" borderId="0" xfId="6" applyFont="1" applyFill="1" applyBorder="1"/>
    <xf numFmtId="43" fontId="1" fillId="3" borderId="0" xfId="6" applyNumberFormat="1" applyFont="1" applyFill="1" applyBorder="1"/>
    <xf numFmtId="0" fontId="1" fillId="3" borderId="29" xfId="6" applyFont="1" applyFill="1" applyBorder="1"/>
    <xf numFmtId="0" fontId="0" fillId="3" borderId="30" xfId="6" applyFont="1" applyFill="1" applyBorder="1"/>
    <xf numFmtId="0" fontId="1" fillId="3" borderId="30" xfId="6" applyFont="1" applyFill="1" applyBorder="1"/>
    <xf numFmtId="0" fontId="1" fillId="3" borderId="59" xfId="6" applyFont="1" applyFill="1" applyBorder="1"/>
    <xf numFmtId="43" fontId="1" fillId="3" borderId="30" xfId="6" applyNumberFormat="1" applyFont="1" applyFill="1" applyBorder="1"/>
    <xf numFmtId="43" fontId="1" fillId="3" borderId="0" xfId="6" applyNumberFormat="1" applyFont="1" applyFill="1" applyBorder="1" applyAlignment="1">
      <alignment vertical="center"/>
    </xf>
    <xf numFmtId="10" fontId="1" fillId="3" borderId="0" xfId="6" applyNumberFormat="1" applyFont="1" applyFill="1" applyBorder="1"/>
    <xf numFmtId="9" fontId="1" fillId="17" borderId="0" xfId="6" applyNumberFormat="1" applyFont="1" applyFill="1" applyBorder="1"/>
    <xf numFmtId="43" fontId="1" fillId="17" borderId="0" xfId="6" applyNumberFormat="1" applyFont="1" applyFill="1" applyBorder="1"/>
    <xf numFmtId="0" fontId="1" fillId="17" borderId="77" xfId="6" applyFont="1" applyFill="1" applyBorder="1"/>
    <xf numFmtId="4" fontId="42" fillId="17" borderId="30" xfId="0" applyNumberFormat="1" applyFont="1" applyFill="1" applyBorder="1"/>
    <xf numFmtId="2" fontId="14" fillId="0" borderId="41" xfId="6" applyNumberFormat="1" applyFont="1" applyBorder="1" applyAlignment="1">
      <alignment horizontal="center" vertical="center"/>
    </xf>
    <xf numFmtId="0" fontId="14" fillId="0" borderId="34" xfId="6" applyFont="1" applyBorder="1" applyAlignment="1">
      <alignment horizontal="center" vertical="center" wrapText="1"/>
    </xf>
    <xf numFmtId="2" fontId="1" fillId="3" borderId="0" xfId="6" applyNumberFormat="1" applyFont="1" applyFill="1" applyBorder="1" applyAlignment="1">
      <alignment horizontal="center" vertical="center"/>
    </xf>
    <xf numFmtId="0" fontId="74" fillId="14" borderId="36" xfId="6" applyFont="1" applyFill="1" applyBorder="1" applyAlignment="1">
      <alignment horizontal="center" vertical="center"/>
    </xf>
    <xf numFmtId="0" fontId="74" fillId="14" borderId="35" xfId="6" applyFont="1" applyFill="1" applyBorder="1" applyAlignment="1">
      <alignment horizontal="center" vertical="center"/>
    </xf>
    <xf numFmtId="0" fontId="74" fillId="14" borderId="2" xfId="6" applyFont="1" applyFill="1" applyBorder="1" applyAlignment="1">
      <alignment horizontal="center" vertical="center"/>
    </xf>
    <xf numFmtId="0" fontId="74" fillId="14" borderId="3" xfId="6" applyFont="1" applyFill="1" applyBorder="1" applyAlignment="1">
      <alignment horizontal="center" vertical="center"/>
    </xf>
    <xf numFmtId="0" fontId="74" fillId="14" borderId="2" xfId="6" applyFont="1" applyFill="1" applyBorder="1" applyAlignment="1">
      <alignment horizontal="center" vertical="center" wrapText="1"/>
    </xf>
    <xf numFmtId="0" fontId="74" fillId="14" borderId="3" xfId="6" applyFont="1" applyFill="1" applyBorder="1" applyAlignment="1">
      <alignment horizontal="center" vertical="center" wrapText="1"/>
    </xf>
    <xf numFmtId="0" fontId="13" fillId="15" borderId="2" xfId="6" applyFill="1" applyBorder="1" applyAlignment="1">
      <alignment horizontal="center" vertical="center"/>
    </xf>
    <xf numFmtId="0" fontId="13" fillId="15" borderId="3" xfId="6" applyFill="1" applyBorder="1" applyAlignment="1">
      <alignment horizontal="center" vertical="center"/>
    </xf>
    <xf numFmtId="0" fontId="13" fillId="0" borderId="2" xfId="6" applyBorder="1" applyAlignment="1">
      <alignment horizontal="center"/>
    </xf>
    <xf numFmtId="0" fontId="13" fillId="0" borderId="4" xfId="6" applyBorder="1" applyAlignment="1">
      <alignment horizontal="center"/>
    </xf>
    <xf numFmtId="0" fontId="13" fillId="0" borderId="3" xfId="6" applyBorder="1" applyAlignment="1">
      <alignment horizontal="center"/>
    </xf>
    <xf numFmtId="0" fontId="4" fillId="16" borderId="44" xfId="13" applyFont="1" applyFill="1" applyBorder="1" applyAlignment="1">
      <alignment horizontal="center"/>
    </xf>
    <xf numFmtId="0" fontId="4" fillId="16" borderId="116" xfId="13" applyFont="1" applyFill="1" applyBorder="1" applyAlignment="1">
      <alignment horizontal="center"/>
    </xf>
    <xf numFmtId="0" fontId="4" fillId="16" borderId="70" xfId="13" applyFont="1" applyFill="1" applyBorder="1" applyAlignment="1">
      <alignment horizontal="center"/>
    </xf>
    <xf numFmtId="0" fontId="1" fillId="0" borderId="44" xfId="13" applyNumberFormat="1" applyBorder="1" applyAlignment="1">
      <alignment horizontal="right"/>
    </xf>
    <xf numFmtId="0" fontId="1" fillId="0" borderId="116" xfId="13" applyNumberFormat="1" applyBorder="1" applyAlignment="1">
      <alignment horizontal="right"/>
    </xf>
    <xf numFmtId="0" fontId="1" fillId="0" borderId="70" xfId="13" applyNumberFormat="1" applyBorder="1" applyAlignment="1">
      <alignment horizontal="right"/>
    </xf>
    <xf numFmtId="0" fontId="4" fillId="16" borderId="41" xfId="13" applyFont="1" applyFill="1" applyBorder="1" applyAlignment="1">
      <alignment horizontal="center"/>
    </xf>
    <xf numFmtId="0" fontId="15" fillId="3" borderId="10" xfId="2" applyFont="1" applyFill="1" applyBorder="1" applyAlignment="1">
      <alignment horizontal="center" vertical="center"/>
    </xf>
    <xf numFmtId="0" fontId="15" fillId="3" borderId="11" xfId="2" applyFont="1" applyFill="1" applyBorder="1" applyAlignment="1">
      <alignment horizontal="center" vertical="center"/>
    </xf>
    <xf numFmtId="0" fontId="15" fillId="3" borderId="12" xfId="2" applyFont="1" applyFill="1" applyBorder="1" applyAlignment="1">
      <alignment horizontal="center" vertical="center"/>
    </xf>
    <xf numFmtId="3" fontId="16" fillId="3" borderId="58" xfId="4" applyNumberFormat="1" applyFont="1" applyFill="1" applyBorder="1" applyAlignment="1">
      <alignment horizontal="center" vertical="center"/>
    </xf>
    <xf numFmtId="3" fontId="16" fillId="3" borderId="84" xfId="4" applyNumberFormat="1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76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29" xfId="2" applyFont="1" applyFill="1" applyBorder="1" applyAlignment="1">
      <alignment horizontal="center" vertical="center"/>
    </xf>
    <xf numFmtId="0" fontId="11" fillId="2" borderId="30" xfId="2" applyFont="1" applyFill="1" applyBorder="1" applyAlignment="1">
      <alignment horizontal="center" vertical="center"/>
    </xf>
    <xf numFmtId="0" fontId="71" fillId="3" borderId="0" xfId="2" applyFont="1" applyFill="1" applyBorder="1" applyAlignment="1">
      <alignment horizontal="center" vertical="center"/>
    </xf>
    <xf numFmtId="3" fontId="16" fillId="3" borderId="13" xfId="4" applyNumberFormat="1" applyFont="1" applyFill="1" applyBorder="1" applyAlignment="1">
      <alignment horizontal="center" vertical="center"/>
    </xf>
    <xf numFmtId="3" fontId="16" fillId="3" borderId="20" xfId="4" applyNumberFormat="1" applyFont="1" applyFill="1" applyBorder="1" applyAlignment="1">
      <alignment horizontal="center" vertical="center"/>
    </xf>
    <xf numFmtId="10" fontId="15" fillId="3" borderId="18" xfId="5" applyNumberFormat="1" applyFont="1" applyFill="1" applyBorder="1" applyAlignment="1">
      <alignment horizontal="center" vertical="center"/>
    </xf>
    <xf numFmtId="10" fontId="15" fillId="3" borderId="16" xfId="5" applyNumberFormat="1" applyFont="1" applyFill="1" applyBorder="1" applyAlignment="1">
      <alignment horizontal="center" vertical="center"/>
    </xf>
    <xf numFmtId="10" fontId="15" fillId="3" borderId="17" xfId="5" applyNumberFormat="1" applyFont="1" applyFill="1" applyBorder="1" applyAlignment="1">
      <alignment horizontal="center" vertical="center"/>
    </xf>
    <xf numFmtId="3" fontId="16" fillId="3" borderId="14" xfId="4" applyNumberFormat="1" applyFont="1" applyFill="1" applyBorder="1" applyAlignment="1">
      <alignment horizontal="center" vertical="center" wrapText="1"/>
    </xf>
    <xf numFmtId="3" fontId="16" fillId="3" borderId="87" xfId="4" applyNumberFormat="1" applyFont="1" applyFill="1" applyBorder="1" applyAlignment="1">
      <alignment horizontal="center" vertical="center" wrapText="1"/>
    </xf>
    <xf numFmtId="3" fontId="16" fillId="3" borderId="18" xfId="4" applyNumberFormat="1" applyFont="1" applyFill="1" applyBorder="1" applyAlignment="1">
      <alignment horizontal="center" vertical="center" wrapText="1"/>
    </xf>
    <xf numFmtId="0" fontId="4" fillId="13" borderId="2" xfId="2" applyFont="1" applyFill="1" applyBorder="1" applyAlignment="1">
      <alignment horizontal="center"/>
    </xf>
    <xf numFmtId="0" fontId="4" fillId="13" borderId="4" xfId="2" applyFont="1" applyFill="1" applyBorder="1" applyAlignment="1">
      <alignment horizontal="center"/>
    </xf>
    <xf numFmtId="0" fontId="4" fillId="13" borderId="3" xfId="2" applyFont="1" applyFill="1" applyBorder="1" applyAlignment="1">
      <alignment horizontal="center"/>
    </xf>
    <xf numFmtId="3" fontId="72" fillId="3" borderId="0" xfId="4" applyNumberFormat="1" applyFont="1" applyFill="1" applyBorder="1" applyAlignment="1">
      <alignment horizontal="center" vertical="center"/>
    </xf>
    <xf numFmtId="3" fontId="72" fillId="3" borderId="0" xfId="4" applyNumberFormat="1" applyFont="1" applyFill="1" applyBorder="1" applyAlignment="1">
      <alignment horizontal="center" vertical="center" wrapText="1"/>
    </xf>
    <xf numFmtId="3" fontId="16" fillId="3" borderId="11" xfId="4" applyNumberFormat="1" applyFont="1" applyFill="1" applyBorder="1" applyAlignment="1">
      <alignment horizontal="center" vertical="center"/>
    </xf>
    <xf numFmtId="0" fontId="11" fillId="2" borderId="47" xfId="2" applyFont="1" applyFill="1" applyBorder="1" applyAlignment="1">
      <alignment horizontal="center" vertical="center"/>
    </xf>
    <xf numFmtId="0" fontId="11" fillId="2" borderId="46" xfId="2" applyFont="1" applyFill="1" applyBorder="1" applyAlignment="1">
      <alignment horizontal="center" vertical="center"/>
    </xf>
    <xf numFmtId="0" fontId="11" fillId="2" borderId="60" xfId="2" applyFont="1" applyFill="1" applyBorder="1" applyAlignment="1">
      <alignment horizontal="center" vertical="center"/>
    </xf>
    <xf numFmtId="0" fontId="1" fillId="0" borderId="0" xfId="2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114" xfId="0" applyBorder="1" applyAlignment="1">
      <alignment horizontal="center"/>
    </xf>
    <xf numFmtId="0" fontId="0" fillId="0" borderId="111" xfId="0" applyBorder="1" applyAlignment="1">
      <alignment horizontal="center"/>
    </xf>
    <xf numFmtId="2" fontId="27" fillId="3" borderId="0" xfId="6" applyNumberFormat="1" applyFont="1" applyFill="1" applyBorder="1" applyAlignment="1">
      <alignment horizontal="center" vertical="center"/>
    </xf>
    <xf numFmtId="0" fontId="64" fillId="13" borderId="2" xfId="6" applyFont="1" applyFill="1" applyBorder="1" applyAlignment="1">
      <alignment horizontal="center" vertical="center"/>
    </xf>
    <xf numFmtId="0" fontId="64" fillId="13" borderId="4" xfId="6" applyFont="1" applyFill="1" applyBorder="1" applyAlignment="1">
      <alignment horizontal="center" vertical="center"/>
    </xf>
    <xf numFmtId="0" fontId="64" fillId="13" borderId="3" xfId="6" applyFont="1" applyFill="1" applyBorder="1" applyAlignment="1">
      <alignment horizontal="center" vertical="center"/>
    </xf>
    <xf numFmtId="0" fontId="31" fillId="13" borderId="2" xfId="6" applyFont="1" applyFill="1" applyBorder="1" applyAlignment="1">
      <alignment horizontal="center" vertical="center"/>
    </xf>
    <xf numFmtId="0" fontId="31" fillId="13" borderId="4" xfId="6" applyFont="1" applyFill="1" applyBorder="1" applyAlignment="1">
      <alignment horizontal="center" vertical="center"/>
    </xf>
    <xf numFmtId="0" fontId="31" fillId="13" borderId="3" xfId="6" applyFont="1" applyFill="1" applyBorder="1" applyAlignment="1">
      <alignment horizontal="center" vertical="center"/>
    </xf>
    <xf numFmtId="0" fontId="4" fillId="2" borderId="2" xfId="6" applyFont="1" applyFill="1" applyBorder="1" applyAlignment="1">
      <alignment horizontal="center" vertical="center" wrapText="1"/>
    </xf>
    <xf numFmtId="0" fontId="1" fillId="2" borderId="3" xfId="6" applyFont="1" applyFill="1" applyBorder="1"/>
    <xf numFmtId="0" fontId="26" fillId="2" borderId="6" xfId="6" applyFont="1" applyFill="1" applyBorder="1" applyAlignment="1">
      <alignment horizontal="center" vertical="center" wrapText="1"/>
    </xf>
    <xf numFmtId="0" fontId="26" fillId="2" borderId="9" xfId="6" applyFont="1" applyFill="1" applyBorder="1" applyAlignment="1">
      <alignment horizontal="center" vertical="center" wrapText="1"/>
    </xf>
    <xf numFmtId="0" fontId="31" fillId="3" borderId="0" xfId="6" applyFont="1" applyFill="1" applyAlignment="1">
      <alignment horizontal="left" vertical="center" wrapText="1"/>
    </xf>
    <xf numFmtId="0" fontId="23" fillId="15" borderId="47" xfId="6" applyFont="1" applyFill="1" applyBorder="1" applyAlignment="1">
      <alignment horizontal="center"/>
    </xf>
    <xf numFmtId="0" fontId="23" fillId="15" borderId="46" xfId="6" applyFont="1" applyFill="1" applyBorder="1" applyAlignment="1">
      <alignment horizontal="center"/>
    </xf>
    <xf numFmtId="0" fontId="23" fillId="15" borderId="60" xfId="6" applyFont="1" applyFill="1" applyBorder="1" applyAlignment="1">
      <alignment horizontal="center"/>
    </xf>
    <xf numFmtId="0" fontId="23" fillId="15" borderId="36" xfId="6" applyFont="1" applyFill="1" applyBorder="1" applyAlignment="1">
      <alignment horizontal="center" vertical="center"/>
    </xf>
    <xf numFmtId="0" fontId="23" fillId="15" borderId="35" xfId="6" applyFont="1" applyFill="1" applyBorder="1" applyAlignment="1">
      <alignment horizontal="center" vertical="center"/>
    </xf>
    <xf numFmtId="0" fontId="23" fillId="15" borderId="36" xfId="6" applyFont="1" applyFill="1" applyBorder="1" applyAlignment="1">
      <alignment horizontal="center" vertical="center" wrapText="1"/>
    </xf>
    <xf numFmtId="0" fontId="23" fillId="15" borderId="35" xfId="6" applyFont="1" applyFill="1" applyBorder="1" applyAlignment="1">
      <alignment horizontal="center" vertical="center" wrapText="1"/>
    </xf>
    <xf numFmtId="0" fontId="21" fillId="0" borderId="48" xfId="6" applyFont="1" applyBorder="1" applyAlignment="1">
      <alignment horizontal="center" vertical="center"/>
    </xf>
    <xf numFmtId="0" fontId="21" fillId="0" borderId="49" xfId="6" applyFont="1" applyBorder="1" applyAlignment="1">
      <alignment horizontal="center" vertical="center"/>
    </xf>
    <xf numFmtId="2" fontId="13" fillId="0" borderId="49" xfId="6" applyNumberFormat="1" applyBorder="1" applyAlignment="1">
      <alignment horizontal="center" vertical="center"/>
    </xf>
    <xf numFmtId="2" fontId="13" fillId="0" borderId="41" xfId="6" applyNumberFormat="1" applyBorder="1" applyAlignment="1">
      <alignment horizontal="center" vertical="center"/>
    </xf>
    <xf numFmtId="10" fontId="13" fillId="0" borderId="49" xfId="6" applyNumberFormat="1" applyBorder="1" applyAlignment="1">
      <alignment horizontal="center" vertical="center"/>
    </xf>
    <xf numFmtId="10" fontId="13" fillId="0" borderId="41" xfId="6" applyNumberFormat="1" applyBorder="1" applyAlignment="1">
      <alignment horizontal="center" vertical="center"/>
    </xf>
    <xf numFmtId="2" fontId="21" fillId="0" borderId="7" xfId="6" applyNumberFormat="1" applyFont="1" applyBorder="1" applyAlignment="1">
      <alignment horizontal="center" vertical="center"/>
    </xf>
    <xf numFmtId="2" fontId="21" fillId="0" borderId="48" xfId="6" applyNumberFormat="1" applyFont="1" applyBorder="1" applyAlignment="1">
      <alignment horizontal="center" vertical="center"/>
    </xf>
    <xf numFmtId="2" fontId="21" fillId="0" borderId="49" xfId="6" applyNumberFormat="1" applyFont="1" applyBorder="1" applyAlignment="1">
      <alignment horizontal="center" vertical="center"/>
    </xf>
    <xf numFmtId="0" fontId="70" fillId="0" borderId="34" xfId="6" applyFont="1" applyBorder="1" applyAlignment="1">
      <alignment horizontal="center" vertical="center"/>
    </xf>
    <xf numFmtId="0" fontId="70" fillId="0" borderId="48" xfId="6" applyFont="1" applyBorder="1" applyAlignment="1">
      <alignment horizontal="center" vertical="center"/>
    </xf>
    <xf numFmtId="0" fontId="70" fillId="0" borderId="49" xfId="6" applyFont="1" applyBorder="1" applyAlignment="1">
      <alignment horizontal="center" vertical="center"/>
    </xf>
    <xf numFmtId="0" fontId="21" fillId="0" borderId="34" xfId="6" applyFont="1" applyBorder="1" applyAlignment="1">
      <alignment horizontal="center" vertical="center"/>
    </xf>
    <xf numFmtId="2" fontId="21" fillId="0" borderId="34" xfId="6" applyNumberFormat="1" applyFont="1" applyBorder="1" applyAlignment="1">
      <alignment horizontal="center" vertical="center"/>
    </xf>
    <xf numFmtId="2" fontId="22" fillId="3" borderId="34" xfId="6" applyNumberFormat="1" applyFont="1" applyFill="1" applyBorder="1" applyAlignment="1">
      <alignment horizontal="center" vertical="center"/>
    </xf>
    <xf numFmtId="2" fontId="22" fillId="3" borderId="48" xfId="6" applyNumberFormat="1" applyFont="1" applyFill="1" applyBorder="1" applyAlignment="1">
      <alignment horizontal="center" vertical="center"/>
    </xf>
    <xf numFmtId="2" fontId="22" fillId="3" borderId="49" xfId="6" applyNumberFormat="1" applyFont="1" applyFill="1" applyBorder="1" applyAlignment="1">
      <alignment horizontal="center" vertical="center"/>
    </xf>
    <xf numFmtId="0" fontId="21" fillId="0" borderId="41" xfId="6" applyFont="1" applyFill="1" applyBorder="1" applyAlignment="1">
      <alignment horizontal="center" vertical="center"/>
    </xf>
    <xf numFmtId="0" fontId="22" fillId="0" borderId="41" xfId="6" applyFont="1" applyBorder="1" applyAlignment="1">
      <alignment horizontal="center" vertical="center"/>
    </xf>
    <xf numFmtId="10" fontId="84" fillId="3" borderId="41" xfId="6" applyNumberFormat="1" applyFont="1" applyFill="1" applyBorder="1" applyAlignment="1">
      <alignment horizontal="center" vertical="center"/>
    </xf>
    <xf numFmtId="10" fontId="13" fillId="0" borderId="106" xfId="6" applyNumberFormat="1" applyBorder="1" applyAlignment="1">
      <alignment horizontal="center" vertical="center" wrapText="1"/>
    </xf>
    <xf numFmtId="0" fontId="21" fillId="0" borderId="34" xfId="6" applyFont="1" applyFill="1" applyBorder="1" applyAlignment="1">
      <alignment horizontal="center" vertical="center"/>
    </xf>
    <xf numFmtId="0" fontId="21" fillId="0" borderId="48" xfId="6" applyFont="1" applyFill="1" applyBorder="1" applyAlignment="1">
      <alignment horizontal="center" vertical="center"/>
    </xf>
    <xf numFmtId="0" fontId="21" fillId="0" borderId="49" xfId="6" applyFont="1" applyFill="1" applyBorder="1" applyAlignment="1">
      <alignment horizontal="center" vertical="center"/>
    </xf>
    <xf numFmtId="2" fontId="13" fillId="0" borderId="34" xfId="6" applyNumberFormat="1" applyBorder="1" applyAlignment="1">
      <alignment horizontal="center" vertical="center"/>
    </xf>
    <xf numFmtId="2" fontId="13" fillId="0" borderId="48" xfId="6" applyNumberFormat="1" applyBorder="1" applyAlignment="1">
      <alignment horizontal="center" vertical="center"/>
    </xf>
    <xf numFmtId="10" fontId="13" fillId="0" borderId="106" xfId="6" applyNumberFormat="1" applyBorder="1" applyAlignment="1">
      <alignment horizontal="center" vertical="center"/>
    </xf>
    <xf numFmtId="0" fontId="13" fillId="3" borderId="0" xfId="6" applyFill="1" applyBorder="1" applyAlignment="1">
      <alignment horizontal="center" wrapText="1"/>
    </xf>
    <xf numFmtId="1" fontId="21" fillId="0" borderId="34" xfId="6" applyNumberFormat="1" applyFont="1" applyBorder="1" applyAlignment="1">
      <alignment horizontal="center" vertical="center"/>
    </xf>
    <xf numFmtId="0" fontId="22" fillId="3" borderId="0" xfId="6" applyFont="1" applyFill="1" applyBorder="1" applyAlignment="1">
      <alignment horizontal="center" vertical="center"/>
    </xf>
    <xf numFmtId="1" fontId="22" fillId="0" borderId="41" xfId="6" applyNumberFormat="1" applyFont="1" applyBorder="1" applyAlignment="1">
      <alignment horizontal="center" vertical="center"/>
    </xf>
    <xf numFmtId="2" fontId="13" fillId="3" borderId="0" xfId="6" applyNumberFormat="1" applyFill="1" applyBorder="1" applyAlignment="1">
      <alignment horizontal="center" vertical="center"/>
    </xf>
    <xf numFmtId="0" fontId="13" fillId="3" borderId="0" xfId="6" applyFill="1" applyBorder="1" applyAlignment="1">
      <alignment horizontal="center" vertical="center"/>
    </xf>
    <xf numFmtId="1" fontId="21" fillId="0" borderId="48" xfId="6" applyNumberFormat="1" applyFont="1" applyBorder="1" applyAlignment="1">
      <alignment horizontal="center" vertical="center"/>
    </xf>
    <xf numFmtId="2" fontId="23" fillId="3" borderId="34" xfId="6" applyNumberFormat="1" applyFont="1" applyFill="1" applyBorder="1" applyAlignment="1">
      <alignment horizontal="center" vertical="center"/>
    </xf>
    <xf numFmtId="2" fontId="23" fillId="3" borderId="48" xfId="6" applyNumberFormat="1" applyFont="1" applyFill="1" applyBorder="1" applyAlignment="1">
      <alignment horizontal="center" vertical="center"/>
    </xf>
    <xf numFmtId="2" fontId="23" fillId="3" borderId="49" xfId="6" applyNumberFormat="1" applyFont="1" applyFill="1" applyBorder="1" applyAlignment="1">
      <alignment horizontal="center" vertical="center"/>
    </xf>
    <xf numFmtId="2" fontId="13" fillId="3" borderId="34" xfId="6" applyNumberFormat="1" applyFill="1" applyBorder="1" applyAlignment="1">
      <alignment horizontal="center" vertical="center"/>
    </xf>
    <xf numFmtId="2" fontId="13" fillId="3" borderId="48" xfId="6" applyNumberFormat="1" applyFill="1" applyBorder="1" applyAlignment="1">
      <alignment horizontal="center" vertical="center"/>
    </xf>
    <xf numFmtId="2" fontId="13" fillId="3" borderId="49" xfId="6" applyNumberFormat="1" applyFill="1" applyBorder="1" applyAlignment="1">
      <alignment horizontal="center" vertical="center"/>
    </xf>
    <xf numFmtId="0" fontId="36" fillId="5" borderId="55" xfId="6" applyFont="1" applyFill="1" applyBorder="1" applyAlignment="1">
      <alignment horizontal="center"/>
    </xf>
    <xf numFmtId="0" fontId="36" fillId="5" borderId="56" xfId="6" applyFont="1" applyFill="1" applyBorder="1" applyAlignment="1">
      <alignment horizontal="center"/>
    </xf>
    <xf numFmtId="0" fontId="31" fillId="2" borderId="47" xfId="6" applyFont="1" applyFill="1" applyBorder="1" applyAlignment="1">
      <alignment horizontal="center" vertical="center"/>
    </xf>
    <xf numFmtId="0" fontId="31" fillId="2" borderId="46" xfId="6" applyFont="1" applyFill="1" applyBorder="1" applyAlignment="1">
      <alignment horizontal="center" vertical="center"/>
    </xf>
    <xf numFmtId="0" fontId="31" fillId="2" borderId="60" xfId="6" applyFont="1" applyFill="1" applyBorder="1" applyAlignment="1">
      <alignment horizontal="center" vertical="center"/>
    </xf>
    <xf numFmtId="0" fontId="65" fillId="7" borderId="100" xfId="6" applyFont="1" applyFill="1" applyBorder="1" applyAlignment="1">
      <alignment horizontal="center" vertical="center"/>
    </xf>
    <xf numFmtId="0" fontId="65" fillId="7" borderId="101" xfId="6" applyFont="1" applyFill="1" applyBorder="1" applyAlignment="1">
      <alignment horizontal="center" vertical="center"/>
    </xf>
    <xf numFmtId="0" fontId="36" fillId="4" borderId="95" xfId="6" applyFont="1" applyFill="1" applyBorder="1" applyAlignment="1">
      <alignment horizontal="center" vertical="center" wrapText="1"/>
    </xf>
    <xf numFmtId="0" fontId="36" fillId="4" borderId="96" xfId="6" applyFont="1" applyFill="1" applyBorder="1" applyAlignment="1">
      <alignment horizontal="center" vertical="center" wrapText="1"/>
    </xf>
    <xf numFmtId="0" fontId="36" fillId="4" borderId="52" xfId="6" applyFont="1" applyFill="1" applyBorder="1" applyAlignment="1">
      <alignment horizontal="center" vertical="center" wrapText="1"/>
    </xf>
    <xf numFmtId="0" fontId="36" fillId="4" borderId="53" xfId="6" applyFont="1" applyFill="1" applyBorder="1" applyAlignment="1">
      <alignment horizontal="center" vertical="center" wrapText="1"/>
    </xf>
    <xf numFmtId="0" fontId="39" fillId="13" borderId="2" xfId="6" applyFont="1" applyFill="1" applyBorder="1" applyAlignment="1">
      <alignment horizontal="center" vertical="center"/>
    </xf>
    <xf numFmtId="0" fontId="39" fillId="13" borderId="4" xfId="6" applyFont="1" applyFill="1" applyBorder="1" applyAlignment="1">
      <alignment horizontal="center" vertical="center"/>
    </xf>
    <xf numFmtId="0" fontId="39" fillId="13" borderId="3" xfId="6" applyFont="1" applyFill="1" applyBorder="1" applyAlignment="1">
      <alignment horizontal="center" vertical="center"/>
    </xf>
    <xf numFmtId="0" fontId="36" fillId="0" borderId="0" xfId="6" applyFont="1" applyFill="1" applyBorder="1" applyAlignment="1">
      <alignment horizontal="center" vertical="center" wrapText="1"/>
    </xf>
    <xf numFmtId="0" fontId="20" fillId="3" borderId="0" xfId="3" applyFont="1" applyFill="1" applyBorder="1" applyAlignment="1">
      <alignment horizontal="left"/>
    </xf>
    <xf numFmtId="3" fontId="1" fillId="3" borderId="0" xfId="6" applyNumberFormat="1" applyFont="1" applyFill="1" applyBorder="1" applyAlignment="1">
      <alignment horizontal="center" vertical="center"/>
    </xf>
    <xf numFmtId="0" fontId="1" fillId="3" borderId="0" xfId="6" applyFont="1" applyFill="1" applyBorder="1" applyAlignment="1">
      <alignment horizontal="center" vertical="center"/>
    </xf>
    <xf numFmtId="2" fontId="43" fillId="3" borderId="41" xfId="2" applyNumberFormat="1" applyFont="1" applyFill="1" applyBorder="1" applyAlignment="1">
      <alignment horizontal="center"/>
    </xf>
    <xf numFmtId="1" fontId="38" fillId="3" borderId="7" xfId="3" applyNumberFormat="1" applyFont="1" applyFill="1" applyBorder="1" applyAlignment="1">
      <alignment horizontal="center" vertical="center"/>
    </xf>
    <xf numFmtId="1" fontId="38" fillId="3" borderId="31" xfId="3" applyNumberFormat="1" applyFont="1" applyFill="1" applyBorder="1" applyAlignment="1">
      <alignment horizontal="center" vertical="center"/>
    </xf>
    <xf numFmtId="2" fontId="38" fillId="3" borderId="7" xfId="9" applyNumberFormat="1" applyFont="1" applyFill="1" applyBorder="1" applyAlignment="1">
      <alignment horizontal="center" vertical="center"/>
    </xf>
    <xf numFmtId="2" fontId="38" fillId="3" borderId="31" xfId="9" applyNumberFormat="1" applyFont="1" applyFill="1" applyBorder="1" applyAlignment="1">
      <alignment horizontal="center" vertical="center"/>
    </xf>
    <xf numFmtId="166" fontId="38" fillId="3" borderId="7" xfId="9" applyNumberFormat="1" applyFont="1" applyFill="1" applyBorder="1" applyAlignment="1">
      <alignment horizontal="center" vertical="center"/>
    </xf>
    <xf numFmtId="166" fontId="38" fillId="3" borderId="31" xfId="9" applyNumberFormat="1" applyFont="1" applyFill="1" applyBorder="1" applyAlignment="1">
      <alignment horizontal="center" vertical="center"/>
    </xf>
    <xf numFmtId="2" fontId="38" fillId="3" borderId="9" xfId="9" applyNumberFormat="1" applyFont="1" applyFill="1" applyBorder="1" applyAlignment="1">
      <alignment horizontal="center" vertical="center"/>
    </xf>
    <xf numFmtId="2" fontId="38" fillId="3" borderId="115" xfId="9" applyNumberFormat="1" applyFont="1" applyFill="1" applyBorder="1" applyAlignment="1">
      <alignment horizontal="center" vertical="center"/>
    </xf>
    <xf numFmtId="0" fontId="19" fillId="2" borderId="2" xfId="11" applyFont="1" applyFill="1" applyBorder="1" applyAlignment="1">
      <alignment horizontal="center" vertical="center"/>
    </xf>
    <xf numFmtId="0" fontId="19" fillId="2" borderId="4" xfId="11" applyFont="1" applyFill="1" applyBorder="1" applyAlignment="1">
      <alignment horizontal="center" vertical="center"/>
    </xf>
    <xf numFmtId="0" fontId="19" fillId="2" borderId="3" xfId="11" applyFont="1" applyFill="1" applyBorder="1" applyAlignment="1">
      <alignment horizontal="center" vertical="center"/>
    </xf>
    <xf numFmtId="0" fontId="39" fillId="12" borderId="2" xfId="10" applyFont="1" applyFill="1" applyBorder="1" applyAlignment="1">
      <alignment horizontal="center"/>
    </xf>
    <xf numFmtId="0" fontId="39" fillId="12" borderId="4" xfId="10" applyFont="1" applyFill="1" applyBorder="1" applyAlignment="1">
      <alignment horizontal="center"/>
    </xf>
    <xf numFmtId="0" fontId="39" fillId="12" borderId="3" xfId="10" applyFont="1" applyFill="1" applyBorder="1" applyAlignment="1">
      <alignment horizontal="center"/>
    </xf>
    <xf numFmtId="0" fontId="65" fillId="13" borderId="2" xfId="6" applyFont="1" applyFill="1" applyBorder="1" applyAlignment="1">
      <alignment horizontal="center" vertical="center"/>
    </xf>
    <xf numFmtId="0" fontId="65" fillId="13" borderId="4" xfId="6" applyFont="1" applyFill="1" applyBorder="1" applyAlignment="1">
      <alignment horizontal="center" vertical="center"/>
    </xf>
    <xf numFmtId="0" fontId="65" fillId="13" borderId="3" xfId="6" applyFont="1" applyFill="1" applyBorder="1" applyAlignment="1">
      <alignment horizontal="center" vertical="center"/>
    </xf>
    <xf numFmtId="0" fontId="48" fillId="2" borderId="5" xfId="6" applyFont="1" applyFill="1" applyBorder="1" applyAlignment="1">
      <alignment horizontal="right" vertical="center"/>
    </xf>
    <xf numFmtId="0" fontId="48" fillId="2" borderId="21" xfId="6" applyFont="1" applyFill="1" applyBorder="1" applyAlignment="1">
      <alignment horizontal="right" vertical="center"/>
    </xf>
    <xf numFmtId="0" fontId="50" fillId="2" borderId="0" xfId="6" applyNumberFormat="1" applyFont="1" applyFill="1" applyBorder="1" applyAlignment="1">
      <alignment horizontal="center" vertical="center"/>
    </xf>
    <xf numFmtId="0" fontId="46" fillId="2" borderId="36" xfId="6" applyFont="1" applyFill="1" applyBorder="1" applyAlignment="1">
      <alignment horizontal="center" vertical="center" wrapText="1"/>
    </xf>
    <xf numFmtId="0" fontId="46" fillId="2" borderId="45" xfId="6" applyFont="1" applyFill="1" applyBorder="1" applyAlignment="1">
      <alignment horizontal="center" vertical="center" wrapText="1"/>
    </xf>
    <xf numFmtId="0" fontId="46" fillId="2" borderId="66" xfId="6" applyFont="1" applyFill="1" applyBorder="1" applyAlignment="1">
      <alignment horizontal="center" vertical="center" wrapText="1"/>
    </xf>
    <xf numFmtId="0" fontId="46" fillId="2" borderId="63" xfId="6" applyFont="1" applyFill="1" applyBorder="1" applyAlignment="1">
      <alignment horizontal="center" vertical="top" wrapText="1"/>
    </xf>
    <xf numFmtId="0" fontId="46" fillId="2" borderId="64" xfId="6" applyFont="1" applyFill="1" applyBorder="1" applyAlignment="1">
      <alignment horizontal="center" vertical="top" wrapText="1"/>
    </xf>
    <xf numFmtId="0" fontId="47" fillId="2" borderId="19" xfId="6" applyFont="1" applyFill="1" applyBorder="1" applyAlignment="1">
      <alignment horizontal="center" vertical="center" wrapText="1"/>
    </xf>
    <xf numFmtId="0" fontId="47" fillId="2" borderId="67" xfId="6" applyFont="1" applyFill="1" applyBorder="1" applyAlignment="1">
      <alignment horizontal="center" vertical="center" wrapText="1"/>
    </xf>
    <xf numFmtId="0" fontId="47" fillId="2" borderId="20" xfId="6" applyFont="1" applyFill="1" applyBorder="1" applyAlignment="1">
      <alignment horizontal="center" vertical="center" wrapText="1"/>
    </xf>
    <xf numFmtId="0" fontId="47" fillId="2" borderId="21" xfId="6" applyFont="1" applyFill="1" applyBorder="1" applyAlignment="1">
      <alignment horizontal="center" vertical="center" wrapText="1"/>
    </xf>
    <xf numFmtId="0" fontId="47" fillId="2" borderId="65" xfId="6" applyFont="1" applyFill="1" applyBorder="1" applyAlignment="1">
      <alignment horizontal="center" vertical="center" wrapText="1"/>
    </xf>
    <xf numFmtId="0" fontId="47" fillId="2" borderId="46" xfId="6" applyFont="1" applyFill="1" applyBorder="1" applyAlignment="1">
      <alignment horizontal="center" vertical="center" wrapText="1"/>
    </xf>
    <xf numFmtId="0" fontId="47" fillId="2" borderId="0" xfId="6" applyFont="1" applyFill="1" applyBorder="1" applyAlignment="1">
      <alignment horizontal="center" vertical="center" wrapText="1"/>
    </xf>
    <xf numFmtId="0" fontId="47" fillId="2" borderId="36" xfId="6" applyFont="1" applyFill="1" applyBorder="1" applyAlignment="1">
      <alignment horizontal="center" vertical="center" wrapText="1"/>
    </xf>
    <xf numFmtId="0" fontId="47" fillId="2" borderId="45" xfId="6" applyFont="1" applyFill="1" applyBorder="1" applyAlignment="1">
      <alignment horizontal="center" vertical="center" wrapText="1"/>
    </xf>
    <xf numFmtId="0" fontId="23" fillId="13" borderId="2" xfId="6" applyFont="1" applyFill="1" applyBorder="1" applyAlignment="1">
      <alignment horizontal="center" vertical="center"/>
    </xf>
    <xf numFmtId="0" fontId="23" fillId="13" borderId="4" xfId="6" applyFont="1" applyFill="1" applyBorder="1" applyAlignment="1">
      <alignment horizontal="center" vertical="center"/>
    </xf>
    <xf numFmtId="0" fontId="23" fillId="13" borderId="3" xfId="6" applyFont="1" applyFill="1" applyBorder="1" applyAlignment="1">
      <alignment horizontal="center" vertical="center"/>
    </xf>
    <xf numFmtId="0" fontId="52" fillId="2" borderId="5" xfId="6" applyFont="1" applyFill="1" applyBorder="1" applyAlignment="1">
      <alignment horizontal="right" vertical="center"/>
    </xf>
    <xf numFmtId="0" fontId="52" fillId="2" borderId="21" xfId="6" applyFont="1" applyFill="1" applyBorder="1" applyAlignment="1">
      <alignment horizontal="right" vertical="center"/>
    </xf>
    <xf numFmtId="0" fontId="36" fillId="8" borderId="2" xfId="6" applyFont="1" applyFill="1" applyBorder="1" applyAlignment="1">
      <alignment horizontal="center"/>
    </xf>
    <xf numFmtId="0" fontId="36" fillId="8" borderId="4" xfId="6" applyFont="1" applyFill="1" applyBorder="1" applyAlignment="1">
      <alignment horizontal="center"/>
    </xf>
    <xf numFmtId="0" fontId="36" fillId="8" borderId="3" xfId="6" applyFont="1" applyFill="1" applyBorder="1" applyAlignment="1">
      <alignment horizontal="center"/>
    </xf>
    <xf numFmtId="44" fontId="57" fillId="0" borderId="34" xfId="6" applyNumberFormat="1" applyFont="1" applyBorder="1" applyAlignment="1">
      <alignment horizontal="center" vertical="center" wrapText="1"/>
    </xf>
    <xf numFmtId="44" fontId="57" fillId="0" borderId="48" xfId="6" applyNumberFormat="1" applyFont="1" applyBorder="1" applyAlignment="1">
      <alignment horizontal="center" vertical="center" wrapText="1"/>
    </xf>
    <xf numFmtId="8" fontId="86" fillId="0" borderId="36" xfId="6" applyNumberFormat="1" applyFont="1" applyBorder="1" applyAlignment="1">
      <alignment horizontal="center"/>
    </xf>
    <xf numFmtId="8" fontId="86" fillId="0" borderId="35" xfId="6" applyNumberFormat="1" applyFont="1" applyBorder="1" applyAlignment="1">
      <alignment horizontal="center"/>
    </xf>
    <xf numFmtId="0" fontId="54" fillId="2" borderId="44" xfId="6" applyFont="1" applyFill="1" applyBorder="1" applyAlignment="1">
      <alignment horizontal="center" vertical="center" wrapText="1"/>
    </xf>
    <xf numFmtId="0" fontId="54" fillId="2" borderId="116" xfId="6" applyFont="1" applyFill="1" applyBorder="1" applyAlignment="1">
      <alignment horizontal="center" vertical="center" wrapText="1"/>
    </xf>
    <xf numFmtId="0" fontId="54" fillId="2" borderId="38" xfId="6" applyFont="1" applyFill="1" applyBorder="1" applyAlignment="1">
      <alignment horizontal="center" vertical="center" wrapText="1"/>
    </xf>
    <xf numFmtId="0" fontId="11" fillId="2" borderId="86" xfId="6" applyFont="1" applyFill="1" applyBorder="1" applyAlignment="1">
      <alignment horizontal="center" vertical="center"/>
    </xf>
    <xf numFmtId="0" fontId="11" fillId="2" borderId="21" xfId="6" applyFont="1" applyFill="1" applyBorder="1" applyAlignment="1">
      <alignment horizontal="center" vertical="center"/>
    </xf>
    <xf numFmtId="0" fontId="11" fillId="2" borderId="65" xfId="6" applyFont="1" applyFill="1" applyBorder="1" applyAlignment="1">
      <alignment horizontal="center" vertical="center"/>
    </xf>
    <xf numFmtId="0" fontId="56" fillId="0" borderId="34" xfId="6" applyFont="1" applyBorder="1" applyAlignment="1">
      <alignment horizontal="center" vertical="center" wrapText="1"/>
    </xf>
    <xf numFmtId="0" fontId="56" fillId="0" borderId="49" xfId="6" applyFont="1" applyBorder="1" applyAlignment="1">
      <alignment horizontal="center" vertical="center" wrapText="1"/>
    </xf>
    <xf numFmtId="0" fontId="57" fillId="0" borderId="44" xfId="6" applyFont="1" applyBorder="1" applyAlignment="1">
      <alignment horizontal="center" vertical="center" wrapText="1"/>
    </xf>
    <xf numFmtId="0" fontId="57" fillId="0" borderId="70" xfId="6" applyFont="1" applyBorder="1" applyAlignment="1">
      <alignment horizontal="center" vertical="center" wrapText="1"/>
    </xf>
    <xf numFmtId="44" fontId="57" fillId="0" borderId="49" xfId="6" applyNumberFormat="1" applyFont="1" applyBorder="1" applyAlignment="1">
      <alignment horizontal="center" vertical="center" wrapText="1"/>
    </xf>
    <xf numFmtId="0" fontId="56" fillId="0" borderId="41" xfId="6" applyFont="1" applyBorder="1" applyAlignment="1">
      <alignment horizontal="center" vertical="center" wrapText="1"/>
    </xf>
    <xf numFmtId="0" fontId="57" fillId="0" borderId="34" xfId="6" applyFont="1" applyBorder="1" applyAlignment="1">
      <alignment horizontal="center" vertical="center" wrapText="1"/>
    </xf>
    <xf numFmtId="0" fontId="57" fillId="0" borderId="48" xfId="6" applyFont="1" applyBorder="1" applyAlignment="1">
      <alignment horizontal="center" vertical="center" wrapText="1"/>
    </xf>
    <xf numFmtId="0" fontId="57" fillId="0" borderId="49" xfId="6" applyFont="1" applyBorder="1" applyAlignment="1">
      <alignment horizontal="center" vertical="center" wrapText="1"/>
    </xf>
    <xf numFmtId="0" fontId="66" fillId="13" borderId="2" xfId="6" applyFont="1" applyFill="1" applyBorder="1" applyAlignment="1">
      <alignment horizontal="center" vertical="center"/>
    </xf>
    <xf numFmtId="0" fontId="66" fillId="13" borderId="4" xfId="6" applyFont="1" applyFill="1" applyBorder="1" applyAlignment="1">
      <alignment horizontal="center" vertical="center"/>
    </xf>
    <xf numFmtId="0" fontId="11" fillId="2" borderId="51" xfId="6" applyFont="1" applyFill="1" applyBorder="1" applyAlignment="1">
      <alignment horizontal="center" vertical="center" wrapText="1"/>
    </xf>
    <xf numFmtId="0" fontId="11" fillId="2" borderId="15" xfId="6" applyFont="1" applyFill="1" applyBorder="1" applyAlignment="1">
      <alignment horizontal="center" vertical="center" wrapText="1"/>
    </xf>
    <xf numFmtId="0" fontId="54" fillId="2" borderId="49" xfId="6" applyFont="1" applyFill="1" applyBorder="1" applyAlignment="1">
      <alignment horizontal="center" vertical="center" wrapText="1"/>
    </xf>
    <xf numFmtId="0" fontId="54" fillId="2" borderId="16" xfId="6" applyFont="1" applyFill="1" applyBorder="1" applyAlignment="1">
      <alignment horizontal="center" vertical="center" wrapText="1"/>
    </xf>
    <xf numFmtId="0" fontId="57" fillId="0" borderId="41" xfId="6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6" applyFont="1" applyFill="1" applyBorder="1" applyAlignment="1">
      <alignment horizontal="center"/>
    </xf>
    <xf numFmtId="0" fontId="4" fillId="2" borderId="4" xfId="6" applyFont="1" applyFill="1" applyBorder="1" applyAlignment="1">
      <alignment horizontal="center"/>
    </xf>
    <xf numFmtId="0" fontId="4" fillId="2" borderId="3" xfId="6" applyFont="1" applyFill="1" applyBorder="1" applyAlignment="1">
      <alignment horizontal="center"/>
    </xf>
    <xf numFmtId="0" fontId="64" fillId="13" borderId="2" xfId="6" applyFont="1" applyFill="1" applyBorder="1" applyAlignment="1">
      <alignment horizontal="center"/>
    </xf>
    <xf numFmtId="0" fontId="64" fillId="13" borderId="4" xfId="6" applyFont="1" applyFill="1" applyBorder="1" applyAlignment="1">
      <alignment horizontal="center"/>
    </xf>
    <xf numFmtId="0" fontId="64" fillId="13" borderId="3" xfId="6" applyFont="1" applyFill="1" applyBorder="1" applyAlignment="1">
      <alignment horizontal="center"/>
    </xf>
    <xf numFmtId="0" fontId="4" fillId="3" borderId="0" xfId="6" applyFont="1" applyFill="1" applyBorder="1" applyAlignment="1">
      <alignment horizontal="center"/>
    </xf>
    <xf numFmtId="0" fontId="4" fillId="3" borderId="0" xfId="6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7" fillId="13" borderId="2" xfId="6" applyFont="1" applyFill="1" applyBorder="1" applyAlignment="1">
      <alignment horizontal="center"/>
    </xf>
    <xf numFmtId="0" fontId="67" fillId="13" borderId="4" xfId="6" applyFont="1" applyFill="1" applyBorder="1" applyAlignment="1">
      <alignment horizontal="center"/>
    </xf>
    <xf numFmtId="0" fontId="67" fillId="13" borderId="3" xfId="6" applyFont="1" applyFill="1" applyBorder="1" applyAlignment="1">
      <alignment horizontal="center"/>
    </xf>
    <xf numFmtId="0" fontId="65" fillId="13" borderId="2" xfId="6" applyFont="1" applyFill="1" applyBorder="1" applyAlignment="1">
      <alignment horizontal="center" vertical="center" wrapText="1"/>
    </xf>
    <xf numFmtId="0" fontId="65" fillId="13" borderId="4" xfId="6" applyFont="1" applyFill="1" applyBorder="1" applyAlignment="1">
      <alignment horizontal="center" vertical="center" wrapText="1"/>
    </xf>
    <xf numFmtId="0" fontId="65" fillId="13" borderId="3" xfId="6" applyFont="1" applyFill="1" applyBorder="1" applyAlignment="1">
      <alignment horizontal="center" vertical="center" wrapText="1"/>
    </xf>
    <xf numFmtId="0" fontId="61" fillId="2" borderId="78" xfId="6" applyFont="1" applyFill="1" applyBorder="1" applyAlignment="1">
      <alignment horizontal="center" vertical="center" wrapText="1"/>
    </xf>
    <xf numFmtId="0" fontId="61" fillId="2" borderId="79" xfId="6" applyFont="1" applyFill="1" applyBorder="1" applyAlignment="1">
      <alignment horizontal="center" vertical="center" wrapText="1"/>
    </xf>
    <xf numFmtId="0" fontId="61" fillId="2" borderId="80" xfId="6" applyFont="1" applyFill="1" applyBorder="1" applyAlignment="1">
      <alignment horizontal="center" vertical="center" wrapText="1"/>
    </xf>
    <xf numFmtId="0" fontId="8" fillId="2" borderId="81" xfId="6" applyFont="1" applyFill="1" applyBorder="1" applyAlignment="1">
      <alignment horizontal="center" vertical="center" wrapText="1"/>
    </xf>
    <xf numFmtId="0" fontId="8" fillId="2" borderId="82" xfId="6" applyFont="1" applyFill="1" applyBorder="1" applyAlignment="1">
      <alignment horizontal="center" vertical="center" wrapText="1"/>
    </xf>
  </cellXfs>
  <cellStyles count="14">
    <cellStyle name="Dziesiętny 4" xfId="9"/>
    <cellStyle name="Dziesiętny 5 2" xfId="4"/>
    <cellStyle name="Normalny" xfId="0" builtinId="0"/>
    <cellStyle name="Normalny 2" xfId="6"/>
    <cellStyle name="Normalny 2 2" xfId="3"/>
    <cellStyle name="Normalny 2 2 3" xfId="2"/>
    <cellStyle name="Normalny 2 5" xfId="1"/>
    <cellStyle name="Normalny 2 5 2" xfId="12"/>
    <cellStyle name="Normalny 3 2 2" xfId="11"/>
    <cellStyle name="Normalny 6 3 2 2" xfId="7"/>
    <cellStyle name="Normalny 8" xfId="13"/>
    <cellStyle name="Normalny 9" xfId="10"/>
    <cellStyle name="Procentowy 3 2" xfId="5"/>
    <cellStyle name="Walu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Struktura wykorzystania paliw na cele cieplne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E6-4203-A4A8-2F250F32D7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7E6-4203-A4A8-2F250F32D7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7E6-4203-A4A8-2F250F32D7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7E6-4203-A4A8-2F250F32D7FC}"/>
              </c:ext>
            </c:extLst>
          </c:dPt>
          <c:cat>
            <c:strRef>
              <c:f>'Sektor mieszkaniowy'!$B$5:$B$8</c:f>
              <c:strCache>
                <c:ptCount val="4"/>
                <c:pt idx="0">
                  <c:v>węgiel</c:v>
                </c:pt>
                <c:pt idx="1">
                  <c:v>gaz</c:v>
                </c:pt>
                <c:pt idx="2">
                  <c:v>olej opałowy</c:v>
                </c:pt>
                <c:pt idx="3">
                  <c:v>biomasa</c:v>
                </c:pt>
              </c:strCache>
            </c:strRef>
          </c:cat>
          <c:val>
            <c:numRef>
              <c:f>'Sektor mieszkaniowy'!$C$5:$C$8</c:f>
              <c:numCache>
                <c:formatCode>0.00%</c:formatCode>
                <c:ptCount val="4"/>
                <c:pt idx="0">
                  <c:v>0.81499999999999995</c:v>
                </c:pt>
                <c:pt idx="1">
                  <c:v>8.5000000000000006E-2</c:v>
                </c:pt>
                <c:pt idx="2">
                  <c:v>1.4999999999999999E-2</c:v>
                </c:pt>
                <c:pt idx="3">
                  <c:v>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2-4EF4-A024-0EF42E4B4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37C-437E-A497-46EBA6F07A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37C-437E-A497-46EBA6F07A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37C-437E-A497-46EBA6F07A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37C-437E-A497-46EBA6F07A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37C-437E-A497-46EBA6F07A7D}"/>
              </c:ext>
            </c:extLst>
          </c:dPt>
          <c:cat>
            <c:strRef>
              <c:f>'Sektor transportu'!$S$7:$S$11</c:f>
              <c:strCache>
                <c:ptCount val="5"/>
                <c:pt idx="0">
                  <c:v>Motocykle</c:v>
                </c:pt>
                <c:pt idx="1">
                  <c:v>Samochody osobowe</c:v>
                </c:pt>
                <c:pt idx="2">
                  <c:v>Samochody ciężarowe</c:v>
                </c:pt>
                <c:pt idx="3">
                  <c:v>Ciągniki samochdowe</c:v>
                </c:pt>
                <c:pt idx="4">
                  <c:v>Ciągniki siodłowe</c:v>
                </c:pt>
              </c:strCache>
            </c:strRef>
          </c:cat>
          <c:val>
            <c:numRef>
              <c:f>'Sektor transportu'!$T$7:$T$11</c:f>
              <c:numCache>
                <c:formatCode>0.00%</c:formatCode>
                <c:ptCount val="5"/>
                <c:pt idx="0">
                  <c:v>1.1334092451929567E-2</c:v>
                </c:pt>
                <c:pt idx="1">
                  <c:v>0.6388743390592071</c:v>
                </c:pt>
                <c:pt idx="2">
                  <c:v>0.27896376880386292</c:v>
                </c:pt>
                <c:pt idx="3">
                  <c:v>4.3389455566425997E-2</c:v>
                </c:pt>
                <c:pt idx="4">
                  <c:v>2.743834411857447E-2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5-4448-AFA5-9EE65DC8F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387458</xdr:colOff>
      <xdr:row>3</xdr:row>
      <xdr:rowOff>94281</xdr:rowOff>
    </xdr:from>
    <xdr:to>
      <xdr:col>18</xdr:col>
      <xdr:colOff>271221</xdr:colOff>
      <xdr:row>13</xdr:row>
      <xdr:rowOff>297050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154113</xdr:colOff>
      <xdr:row>5</xdr:row>
      <xdr:rowOff>430657</xdr:rowOff>
    </xdr:from>
    <xdr:to>
      <xdr:col>25</xdr:col>
      <xdr:colOff>1395573</xdr:colOff>
      <xdr:row>19</xdr:row>
      <xdr:rowOff>94178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usiak/Desktop/rof_GUS/Inwentaryzacja%20&#378;r&#243;de&#322;%20emisji_SEA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ODM_2803_XTAB_2018100217474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owy%20folder%20(3)/Baza%20emisji%20CO2%20Kamienica%2020.04.2018%20r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ekogeoglob%20-%20umowy/Ekogeoglob/zrobione/Zap&#322;acone/Wy&#347;mierzyce/gotowe/23122016/Baza%20emisji%20CO2%20Gmina%20Wy&#347;mierzy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Baza%20emisji%20CO2%20Gmina%20Kamie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"/>
      <sheetName val="Budynki UM-Input"/>
      <sheetName val="Budynki UM"/>
      <sheetName val="FlotaPojazdówUM_Input"/>
      <sheetName val="Flota pojazdów_nie_edytować"/>
      <sheetName val="OświetleniePubliczne"/>
      <sheetName val="Odpady_Input"/>
      <sheetName val="_odpady_nie edytować"/>
      <sheetName val="Mieszkalnictwo"/>
      <sheetName val="Usługi_Handel"/>
      <sheetName val="Przemysł"/>
      <sheetName val="Com-Transportation (VKT)"/>
      <sheetName val="Transport"/>
      <sheetName val="Lokalna_Produkcja_Energii"/>
      <sheetName val="Wskaźniki emisji"/>
      <sheetName val="Wskaźnik emisji_enel. elektr. s"/>
      <sheetName val="Community Summary"/>
      <sheetName val="Com-Waste"/>
      <sheetName val="Woga i ścieki"/>
      <sheetName val="Govt-Summary"/>
      <sheetName val="Agriculture Emission Factors"/>
      <sheetName val="Agriculture"/>
      <sheetName val="N2O coef"/>
      <sheetName val="CH4 coef"/>
      <sheetName val="Waste coef"/>
      <sheetName val="Tablica"/>
      <sheetName val="tablice"/>
    </sheetNames>
    <sheetDataSet>
      <sheetData sheetId="0"/>
      <sheetData sheetId="1">
        <row r="5">
          <cell r="D5" t="str">
            <v>Bydgoszcz</v>
          </cell>
        </row>
        <row r="7">
          <cell r="D7">
            <v>2005</v>
          </cell>
        </row>
        <row r="8">
          <cell r="D8">
            <v>2005</v>
          </cell>
        </row>
      </sheetData>
      <sheetData sheetId="2"/>
      <sheetData sheetId="3">
        <row r="61">
          <cell r="AQ61">
            <v>29268944.94933201</v>
          </cell>
        </row>
      </sheetData>
      <sheetData sheetId="4"/>
      <sheetData sheetId="5">
        <row r="70">
          <cell r="AH70">
            <v>37964.630553384341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  <sheetName val="TABLICA"/>
    </sheetNames>
    <sheetDataSet>
      <sheetData sheetId="0"/>
      <sheetData sheetId="1">
        <row r="4">
          <cell r="C4">
            <v>1212</v>
          </cell>
          <cell r="D4">
            <v>1222</v>
          </cell>
          <cell r="E4">
            <v>1250</v>
          </cell>
          <cell r="F4">
            <v>1263</v>
          </cell>
          <cell r="G4">
            <v>1257</v>
          </cell>
          <cell r="H4">
            <v>1262</v>
          </cell>
          <cell r="I4">
            <v>1252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kaźniki emisji"/>
      <sheetName val="Wskaźniki emisji subst."/>
      <sheetName val="Informacje ogolne"/>
      <sheetName val="Ankietyzacja mieszkanców"/>
      <sheetName val="Sektor mieszkaniowy"/>
      <sheetName val="Sektor mieszk. - wykresy"/>
      <sheetName val="Sektor transportu"/>
      <sheetName val="Sektor Handlu i Usług"/>
      <sheetName val="Gaz wykr."/>
      <sheetName val="Sektor oświetlenia ulicznego"/>
      <sheetName val="Sektor użyteczności publicznej"/>
      <sheetName val="Zużycie energii -sektory SEAP"/>
      <sheetName val="Emisja CO2 - sektory SEAP"/>
      <sheetName val="Bilans"/>
      <sheetName val="Działania"/>
      <sheetName val="Metodyka"/>
      <sheetName val="Planowane rezultaty"/>
      <sheetName val="Monitoring"/>
    </sheetNames>
    <sheetDataSet>
      <sheetData sheetId="0" refreshError="1">
        <row r="11">
          <cell r="C11">
            <v>4.7309999999999998E-2</v>
          </cell>
          <cell r="G11">
            <v>6.2440000000000002E-2</v>
          </cell>
        </row>
        <row r="12">
          <cell r="C12">
            <v>4.48E-2</v>
          </cell>
          <cell r="G12">
            <v>6.8610000000000004E-2</v>
          </cell>
        </row>
        <row r="14">
          <cell r="C14">
            <v>4.333E-2</v>
          </cell>
          <cell r="G14">
            <v>7.3330000000000006E-2</v>
          </cell>
        </row>
        <row r="26">
          <cell r="E26">
            <v>3.6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kaźniki emisji"/>
      <sheetName val="Informacje ogolne"/>
      <sheetName val="Ankietyzacja mieszkanców"/>
      <sheetName val="Sektor mieszkaniowy"/>
      <sheetName val="Sektor mieszk. - wykresy"/>
      <sheetName val="Sektor transportu"/>
      <sheetName val="Sektor Handlu i Usług"/>
      <sheetName val="Gaz wykr."/>
      <sheetName val="Sektor oświetlenia ulicznego"/>
      <sheetName val="Sektor użyteczności publicznej"/>
      <sheetName val="Emisja pyłów i B(a)P"/>
      <sheetName val="Zużycie energii -sektory SEAP"/>
      <sheetName val="Emisja CO2 - sektory SEAP"/>
      <sheetName val="Bilans"/>
      <sheetName val="Działania"/>
      <sheetName val="Metodyka"/>
      <sheetName val="Planowane rezultaty"/>
      <sheetName val="Monitoring"/>
    </sheetNames>
    <sheetDataSet>
      <sheetData sheetId="0">
        <row r="12">
          <cell r="K12">
            <v>0.38100000000000001</v>
          </cell>
        </row>
      </sheetData>
      <sheetData sheetId="1">
        <row r="36">
          <cell r="I36">
            <v>4.6463598305489075E-3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0">
          <cell r="I20" t="str">
            <v>Montaż instalacji OZE na obiektach handlowo - usługowych</v>
          </cell>
        </row>
        <row r="34">
          <cell r="I34" t="str">
            <v>Kompleksowa termomodernizacja budynków (zwiększenie efektywności energetycznej budynków)</v>
          </cell>
        </row>
        <row r="54">
          <cell r="B54" t="str">
            <v>Montaż instalacji fotowoltaicznych na/w budynkach mieszkalnych</v>
          </cell>
          <cell r="H54" t="str">
            <v>Montaż kolektorów słonecznych na budynkach mieszkalnych</v>
          </cell>
        </row>
      </sheetData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kaźniki emisji"/>
      <sheetName val="Informacje ogolne"/>
      <sheetName val="Ankietyzacja mieszkanców"/>
      <sheetName val="Sektor mieszkaniowy"/>
      <sheetName val="Sektor mieszk. - wykresy"/>
      <sheetName val="Sektor transportu"/>
      <sheetName val="Sektor Handlu i Usług"/>
      <sheetName val="Gaz wykr."/>
      <sheetName val="Sektor oświetlenia ulicznego"/>
      <sheetName val="Sektor użyteczności publicznej"/>
      <sheetName val="Emisja pyłów i B(a)P"/>
      <sheetName val="Zużycie energii -sektory SEAP"/>
      <sheetName val="Emisja CO2 - sektory SEAP"/>
      <sheetName val="Bilans"/>
      <sheetName val="Działania"/>
      <sheetName val="Metodyka"/>
      <sheetName val="Planowane rezultaty"/>
      <sheetName val="Monitoring"/>
    </sheetNames>
    <sheetDataSet>
      <sheetData sheetId="0">
        <row r="33">
          <cell r="K33">
            <v>0.81200000000000006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E6">
            <v>4024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showGridLines="0" view="pageBreakPreview" zoomScale="96" zoomScaleNormal="100" zoomScaleSheetLayoutView="96" workbookViewId="0">
      <selection activeCell="C11" sqref="C11"/>
    </sheetView>
  </sheetViews>
  <sheetFormatPr defaultRowHeight="13.8"/>
  <cols>
    <col min="1" max="1" width="8.88671875" style="23"/>
    <col min="2" max="2" width="26.44140625" style="23" customWidth="1"/>
    <col min="3" max="3" width="13.109375" style="23" customWidth="1"/>
    <col min="4" max="4" width="13.5546875" style="23" customWidth="1"/>
    <col min="5" max="5" width="13.88671875" style="23" customWidth="1"/>
    <col min="6" max="6" width="19.109375" style="23" customWidth="1"/>
    <col min="7" max="7" width="12.109375" style="23" customWidth="1"/>
    <col min="8" max="8" width="13.88671875" style="23" customWidth="1"/>
    <col min="9" max="257" width="8.88671875" style="23"/>
    <col min="258" max="258" width="26.44140625" style="23" customWidth="1"/>
    <col min="259" max="259" width="13.109375" style="23" customWidth="1"/>
    <col min="260" max="260" width="13.5546875" style="23" customWidth="1"/>
    <col min="261" max="261" width="13.88671875" style="23" customWidth="1"/>
    <col min="262" max="262" width="19.109375" style="23" customWidth="1"/>
    <col min="263" max="263" width="12.109375" style="23" customWidth="1"/>
    <col min="264" max="264" width="13.88671875" style="23" customWidth="1"/>
    <col min="265" max="513" width="8.88671875" style="23"/>
    <col min="514" max="514" width="26.44140625" style="23" customWidth="1"/>
    <col min="515" max="515" width="13.109375" style="23" customWidth="1"/>
    <col min="516" max="516" width="13.5546875" style="23" customWidth="1"/>
    <col min="517" max="517" width="13.88671875" style="23" customWidth="1"/>
    <col min="518" max="518" width="19.109375" style="23" customWidth="1"/>
    <col min="519" max="519" width="12.109375" style="23" customWidth="1"/>
    <col min="520" max="520" width="13.88671875" style="23" customWidth="1"/>
    <col min="521" max="769" width="8.88671875" style="23"/>
    <col min="770" max="770" width="26.44140625" style="23" customWidth="1"/>
    <col min="771" max="771" width="13.109375" style="23" customWidth="1"/>
    <col min="772" max="772" width="13.5546875" style="23" customWidth="1"/>
    <col min="773" max="773" width="13.88671875" style="23" customWidth="1"/>
    <col min="774" max="774" width="19.109375" style="23" customWidth="1"/>
    <col min="775" max="775" width="12.109375" style="23" customWidth="1"/>
    <col min="776" max="776" width="13.88671875" style="23" customWidth="1"/>
    <col min="777" max="1025" width="8.88671875" style="23"/>
    <col min="1026" max="1026" width="26.44140625" style="23" customWidth="1"/>
    <col min="1027" max="1027" width="13.109375" style="23" customWidth="1"/>
    <col min="1028" max="1028" width="13.5546875" style="23" customWidth="1"/>
    <col min="1029" max="1029" width="13.88671875" style="23" customWidth="1"/>
    <col min="1030" max="1030" width="19.109375" style="23" customWidth="1"/>
    <col min="1031" max="1031" width="12.109375" style="23" customWidth="1"/>
    <col min="1032" max="1032" width="13.88671875" style="23" customWidth="1"/>
    <col min="1033" max="1281" width="8.88671875" style="23"/>
    <col min="1282" max="1282" width="26.44140625" style="23" customWidth="1"/>
    <col min="1283" max="1283" width="13.109375" style="23" customWidth="1"/>
    <col min="1284" max="1284" width="13.5546875" style="23" customWidth="1"/>
    <col min="1285" max="1285" width="13.88671875" style="23" customWidth="1"/>
    <col min="1286" max="1286" width="19.109375" style="23" customWidth="1"/>
    <col min="1287" max="1287" width="12.109375" style="23" customWidth="1"/>
    <col min="1288" max="1288" width="13.88671875" style="23" customWidth="1"/>
    <col min="1289" max="1537" width="8.88671875" style="23"/>
    <col min="1538" max="1538" width="26.44140625" style="23" customWidth="1"/>
    <col min="1539" max="1539" width="13.109375" style="23" customWidth="1"/>
    <col min="1540" max="1540" width="13.5546875" style="23" customWidth="1"/>
    <col min="1541" max="1541" width="13.88671875" style="23" customWidth="1"/>
    <col min="1542" max="1542" width="19.109375" style="23" customWidth="1"/>
    <col min="1543" max="1543" width="12.109375" style="23" customWidth="1"/>
    <col min="1544" max="1544" width="13.88671875" style="23" customWidth="1"/>
    <col min="1545" max="1793" width="8.88671875" style="23"/>
    <col min="1794" max="1794" width="26.44140625" style="23" customWidth="1"/>
    <col min="1795" max="1795" width="13.109375" style="23" customWidth="1"/>
    <col min="1796" max="1796" width="13.5546875" style="23" customWidth="1"/>
    <col min="1797" max="1797" width="13.88671875" style="23" customWidth="1"/>
    <col min="1798" max="1798" width="19.109375" style="23" customWidth="1"/>
    <col min="1799" max="1799" width="12.109375" style="23" customWidth="1"/>
    <col min="1800" max="1800" width="13.88671875" style="23" customWidth="1"/>
    <col min="1801" max="2049" width="8.88671875" style="23"/>
    <col min="2050" max="2050" width="26.44140625" style="23" customWidth="1"/>
    <col min="2051" max="2051" width="13.109375" style="23" customWidth="1"/>
    <col min="2052" max="2052" width="13.5546875" style="23" customWidth="1"/>
    <col min="2053" max="2053" width="13.88671875" style="23" customWidth="1"/>
    <col min="2054" max="2054" width="19.109375" style="23" customWidth="1"/>
    <col min="2055" max="2055" width="12.109375" style="23" customWidth="1"/>
    <col min="2056" max="2056" width="13.88671875" style="23" customWidth="1"/>
    <col min="2057" max="2305" width="8.88671875" style="23"/>
    <col min="2306" max="2306" width="26.44140625" style="23" customWidth="1"/>
    <col min="2307" max="2307" width="13.109375" style="23" customWidth="1"/>
    <col min="2308" max="2308" width="13.5546875" style="23" customWidth="1"/>
    <col min="2309" max="2309" width="13.88671875" style="23" customWidth="1"/>
    <col min="2310" max="2310" width="19.109375" style="23" customWidth="1"/>
    <col min="2311" max="2311" width="12.109375" style="23" customWidth="1"/>
    <col min="2312" max="2312" width="13.88671875" style="23" customWidth="1"/>
    <col min="2313" max="2561" width="8.88671875" style="23"/>
    <col min="2562" max="2562" width="26.44140625" style="23" customWidth="1"/>
    <col min="2563" max="2563" width="13.109375" style="23" customWidth="1"/>
    <col min="2564" max="2564" width="13.5546875" style="23" customWidth="1"/>
    <col min="2565" max="2565" width="13.88671875" style="23" customWidth="1"/>
    <col min="2566" max="2566" width="19.109375" style="23" customWidth="1"/>
    <col min="2567" max="2567" width="12.109375" style="23" customWidth="1"/>
    <col min="2568" max="2568" width="13.88671875" style="23" customWidth="1"/>
    <col min="2569" max="2817" width="8.88671875" style="23"/>
    <col min="2818" max="2818" width="26.44140625" style="23" customWidth="1"/>
    <col min="2819" max="2819" width="13.109375" style="23" customWidth="1"/>
    <col min="2820" max="2820" width="13.5546875" style="23" customWidth="1"/>
    <col min="2821" max="2821" width="13.88671875" style="23" customWidth="1"/>
    <col min="2822" max="2822" width="19.109375" style="23" customWidth="1"/>
    <col min="2823" max="2823" width="12.109375" style="23" customWidth="1"/>
    <col min="2824" max="2824" width="13.88671875" style="23" customWidth="1"/>
    <col min="2825" max="3073" width="8.88671875" style="23"/>
    <col min="3074" max="3074" width="26.44140625" style="23" customWidth="1"/>
    <col min="3075" max="3075" width="13.109375" style="23" customWidth="1"/>
    <col min="3076" max="3076" width="13.5546875" style="23" customWidth="1"/>
    <col min="3077" max="3077" width="13.88671875" style="23" customWidth="1"/>
    <col min="3078" max="3078" width="19.109375" style="23" customWidth="1"/>
    <col min="3079" max="3079" width="12.109375" style="23" customWidth="1"/>
    <col min="3080" max="3080" width="13.88671875" style="23" customWidth="1"/>
    <col min="3081" max="3329" width="8.88671875" style="23"/>
    <col min="3330" max="3330" width="26.44140625" style="23" customWidth="1"/>
    <col min="3331" max="3331" width="13.109375" style="23" customWidth="1"/>
    <col min="3332" max="3332" width="13.5546875" style="23" customWidth="1"/>
    <col min="3333" max="3333" width="13.88671875" style="23" customWidth="1"/>
    <col min="3334" max="3334" width="19.109375" style="23" customWidth="1"/>
    <col min="3335" max="3335" width="12.109375" style="23" customWidth="1"/>
    <col min="3336" max="3336" width="13.88671875" style="23" customWidth="1"/>
    <col min="3337" max="3585" width="8.88671875" style="23"/>
    <col min="3586" max="3586" width="26.44140625" style="23" customWidth="1"/>
    <col min="3587" max="3587" width="13.109375" style="23" customWidth="1"/>
    <col min="3588" max="3588" width="13.5546875" style="23" customWidth="1"/>
    <col min="3589" max="3589" width="13.88671875" style="23" customWidth="1"/>
    <col min="3590" max="3590" width="19.109375" style="23" customWidth="1"/>
    <col min="3591" max="3591" width="12.109375" style="23" customWidth="1"/>
    <col min="3592" max="3592" width="13.88671875" style="23" customWidth="1"/>
    <col min="3593" max="3841" width="8.88671875" style="23"/>
    <col min="3842" max="3842" width="26.44140625" style="23" customWidth="1"/>
    <col min="3843" max="3843" width="13.109375" style="23" customWidth="1"/>
    <col min="3844" max="3844" width="13.5546875" style="23" customWidth="1"/>
    <col min="3845" max="3845" width="13.88671875" style="23" customWidth="1"/>
    <col min="3846" max="3846" width="19.109375" style="23" customWidth="1"/>
    <col min="3847" max="3847" width="12.109375" style="23" customWidth="1"/>
    <col min="3848" max="3848" width="13.88671875" style="23" customWidth="1"/>
    <col min="3849" max="4097" width="8.88671875" style="23"/>
    <col min="4098" max="4098" width="26.44140625" style="23" customWidth="1"/>
    <col min="4099" max="4099" width="13.109375" style="23" customWidth="1"/>
    <col min="4100" max="4100" width="13.5546875" style="23" customWidth="1"/>
    <col min="4101" max="4101" width="13.88671875" style="23" customWidth="1"/>
    <col min="4102" max="4102" width="19.109375" style="23" customWidth="1"/>
    <col min="4103" max="4103" width="12.109375" style="23" customWidth="1"/>
    <col min="4104" max="4104" width="13.88671875" style="23" customWidth="1"/>
    <col min="4105" max="4353" width="8.88671875" style="23"/>
    <col min="4354" max="4354" width="26.44140625" style="23" customWidth="1"/>
    <col min="4355" max="4355" width="13.109375" style="23" customWidth="1"/>
    <col min="4356" max="4356" width="13.5546875" style="23" customWidth="1"/>
    <col min="4357" max="4357" width="13.88671875" style="23" customWidth="1"/>
    <col min="4358" max="4358" width="19.109375" style="23" customWidth="1"/>
    <col min="4359" max="4359" width="12.109375" style="23" customWidth="1"/>
    <col min="4360" max="4360" width="13.88671875" style="23" customWidth="1"/>
    <col min="4361" max="4609" width="8.88671875" style="23"/>
    <col min="4610" max="4610" width="26.44140625" style="23" customWidth="1"/>
    <col min="4611" max="4611" width="13.109375" style="23" customWidth="1"/>
    <col min="4612" max="4612" width="13.5546875" style="23" customWidth="1"/>
    <col min="4613" max="4613" width="13.88671875" style="23" customWidth="1"/>
    <col min="4614" max="4614" width="19.109375" style="23" customWidth="1"/>
    <col min="4615" max="4615" width="12.109375" style="23" customWidth="1"/>
    <col min="4616" max="4616" width="13.88671875" style="23" customWidth="1"/>
    <col min="4617" max="4865" width="8.88671875" style="23"/>
    <col min="4866" max="4866" width="26.44140625" style="23" customWidth="1"/>
    <col min="4867" max="4867" width="13.109375" style="23" customWidth="1"/>
    <col min="4868" max="4868" width="13.5546875" style="23" customWidth="1"/>
    <col min="4869" max="4869" width="13.88671875" style="23" customWidth="1"/>
    <col min="4870" max="4870" width="19.109375" style="23" customWidth="1"/>
    <col min="4871" max="4871" width="12.109375" style="23" customWidth="1"/>
    <col min="4872" max="4872" width="13.88671875" style="23" customWidth="1"/>
    <col min="4873" max="5121" width="8.88671875" style="23"/>
    <col min="5122" max="5122" width="26.44140625" style="23" customWidth="1"/>
    <col min="5123" max="5123" width="13.109375" style="23" customWidth="1"/>
    <col min="5124" max="5124" width="13.5546875" style="23" customWidth="1"/>
    <col min="5125" max="5125" width="13.88671875" style="23" customWidth="1"/>
    <col min="5126" max="5126" width="19.109375" style="23" customWidth="1"/>
    <col min="5127" max="5127" width="12.109375" style="23" customWidth="1"/>
    <col min="5128" max="5128" width="13.88671875" style="23" customWidth="1"/>
    <col min="5129" max="5377" width="8.88671875" style="23"/>
    <col min="5378" max="5378" width="26.44140625" style="23" customWidth="1"/>
    <col min="5379" max="5379" width="13.109375" style="23" customWidth="1"/>
    <col min="5380" max="5380" width="13.5546875" style="23" customWidth="1"/>
    <col min="5381" max="5381" width="13.88671875" style="23" customWidth="1"/>
    <col min="5382" max="5382" width="19.109375" style="23" customWidth="1"/>
    <col min="5383" max="5383" width="12.109375" style="23" customWidth="1"/>
    <col min="5384" max="5384" width="13.88671875" style="23" customWidth="1"/>
    <col min="5385" max="5633" width="8.88671875" style="23"/>
    <col min="5634" max="5634" width="26.44140625" style="23" customWidth="1"/>
    <col min="5635" max="5635" width="13.109375" style="23" customWidth="1"/>
    <col min="5636" max="5636" width="13.5546875" style="23" customWidth="1"/>
    <col min="5637" max="5637" width="13.88671875" style="23" customWidth="1"/>
    <col min="5638" max="5638" width="19.109375" style="23" customWidth="1"/>
    <col min="5639" max="5639" width="12.109375" style="23" customWidth="1"/>
    <col min="5640" max="5640" width="13.88671875" style="23" customWidth="1"/>
    <col min="5641" max="5889" width="8.88671875" style="23"/>
    <col min="5890" max="5890" width="26.44140625" style="23" customWidth="1"/>
    <col min="5891" max="5891" width="13.109375" style="23" customWidth="1"/>
    <col min="5892" max="5892" width="13.5546875" style="23" customWidth="1"/>
    <col min="5893" max="5893" width="13.88671875" style="23" customWidth="1"/>
    <col min="5894" max="5894" width="19.109375" style="23" customWidth="1"/>
    <col min="5895" max="5895" width="12.109375" style="23" customWidth="1"/>
    <col min="5896" max="5896" width="13.88671875" style="23" customWidth="1"/>
    <col min="5897" max="6145" width="8.88671875" style="23"/>
    <col min="6146" max="6146" width="26.44140625" style="23" customWidth="1"/>
    <col min="6147" max="6147" width="13.109375" style="23" customWidth="1"/>
    <col min="6148" max="6148" width="13.5546875" style="23" customWidth="1"/>
    <col min="6149" max="6149" width="13.88671875" style="23" customWidth="1"/>
    <col min="6150" max="6150" width="19.109375" style="23" customWidth="1"/>
    <col min="6151" max="6151" width="12.109375" style="23" customWidth="1"/>
    <col min="6152" max="6152" width="13.88671875" style="23" customWidth="1"/>
    <col min="6153" max="6401" width="8.88671875" style="23"/>
    <col min="6402" max="6402" width="26.44140625" style="23" customWidth="1"/>
    <col min="6403" max="6403" width="13.109375" style="23" customWidth="1"/>
    <col min="6404" max="6404" width="13.5546875" style="23" customWidth="1"/>
    <col min="6405" max="6405" width="13.88671875" style="23" customWidth="1"/>
    <col min="6406" max="6406" width="19.109375" style="23" customWidth="1"/>
    <col min="6407" max="6407" width="12.109375" style="23" customWidth="1"/>
    <col min="6408" max="6408" width="13.88671875" style="23" customWidth="1"/>
    <col min="6409" max="6657" width="8.88671875" style="23"/>
    <col min="6658" max="6658" width="26.44140625" style="23" customWidth="1"/>
    <col min="6659" max="6659" width="13.109375" style="23" customWidth="1"/>
    <col min="6660" max="6660" width="13.5546875" style="23" customWidth="1"/>
    <col min="6661" max="6661" width="13.88671875" style="23" customWidth="1"/>
    <col min="6662" max="6662" width="19.109375" style="23" customWidth="1"/>
    <col min="6663" max="6663" width="12.109375" style="23" customWidth="1"/>
    <col min="6664" max="6664" width="13.88671875" style="23" customWidth="1"/>
    <col min="6665" max="6913" width="8.88671875" style="23"/>
    <col min="6914" max="6914" width="26.44140625" style="23" customWidth="1"/>
    <col min="6915" max="6915" width="13.109375" style="23" customWidth="1"/>
    <col min="6916" max="6916" width="13.5546875" style="23" customWidth="1"/>
    <col min="6917" max="6917" width="13.88671875" style="23" customWidth="1"/>
    <col min="6918" max="6918" width="19.109375" style="23" customWidth="1"/>
    <col min="6919" max="6919" width="12.109375" style="23" customWidth="1"/>
    <col min="6920" max="6920" width="13.88671875" style="23" customWidth="1"/>
    <col min="6921" max="7169" width="8.88671875" style="23"/>
    <col min="7170" max="7170" width="26.44140625" style="23" customWidth="1"/>
    <col min="7171" max="7171" width="13.109375" style="23" customWidth="1"/>
    <col min="7172" max="7172" width="13.5546875" style="23" customWidth="1"/>
    <col min="7173" max="7173" width="13.88671875" style="23" customWidth="1"/>
    <col min="7174" max="7174" width="19.109375" style="23" customWidth="1"/>
    <col min="7175" max="7175" width="12.109375" style="23" customWidth="1"/>
    <col min="7176" max="7176" width="13.88671875" style="23" customWidth="1"/>
    <col min="7177" max="7425" width="8.88671875" style="23"/>
    <col min="7426" max="7426" width="26.44140625" style="23" customWidth="1"/>
    <col min="7427" max="7427" width="13.109375" style="23" customWidth="1"/>
    <col min="7428" max="7428" width="13.5546875" style="23" customWidth="1"/>
    <col min="7429" max="7429" width="13.88671875" style="23" customWidth="1"/>
    <col min="7430" max="7430" width="19.109375" style="23" customWidth="1"/>
    <col min="7431" max="7431" width="12.109375" style="23" customWidth="1"/>
    <col min="7432" max="7432" width="13.88671875" style="23" customWidth="1"/>
    <col min="7433" max="7681" width="8.88671875" style="23"/>
    <col min="7682" max="7682" width="26.44140625" style="23" customWidth="1"/>
    <col min="7683" max="7683" width="13.109375" style="23" customWidth="1"/>
    <col min="7684" max="7684" width="13.5546875" style="23" customWidth="1"/>
    <col min="7685" max="7685" width="13.88671875" style="23" customWidth="1"/>
    <col min="7686" max="7686" width="19.109375" style="23" customWidth="1"/>
    <col min="7687" max="7687" width="12.109375" style="23" customWidth="1"/>
    <col min="7688" max="7688" width="13.88671875" style="23" customWidth="1"/>
    <col min="7689" max="7937" width="8.88671875" style="23"/>
    <col min="7938" max="7938" width="26.44140625" style="23" customWidth="1"/>
    <col min="7939" max="7939" width="13.109375" style="23" customWidth="1"/>
    <col min="7940" max="7940" width="13.5546875" style="23" customWidth="1"/>
    <col min="7941" max="7941" width="13.88671875" style="23" customWidth="1"/>
    <col min="7942" max="7942" width="19.109375" style="23" customWidth="1"/>
    <col min="7943" max="7943" width="12.109375" style="23" customWidth="1"/>
    <col min="7944" max="7944" width="13.88671875" style="23" customWidth="1"/>
    <col min="7945" max="8193" width="8.88671875" style="23"/>
    <col min="8194" max="8194" width="26.44140625" style="23" customWidth="1"/>
    <col min="8195" max="8195" width="13.109375" style="23" customWidth="1"/>
    <col min="8196" max="8196" width="13.5546875" style="23" customWidth="1"/>
    <col min="8197" max="8197" width="13.88671875" style="23" customWidth="1"/>
    <col min="8198" max="8198" width="19.109375" style="23" customWidth="1"/>
    <col min="8199" max="8199" width="12.109375" style="23" customWidth="1"/>
    <col min="8200" max="8200" width="13.88671875" style="23" customWidth="1"/>
    <col min="8201" max="8449" width="8.88671875" style="23"/>
    <col min="8450" max="8450" width="26.44140625" style="23" customWidth="1"/>
    <col min="8451" max="8451" width="13.109375" style="23" customWidth="1"/>
    <col min="8452" max="8452" width="13.5546875" style="23" customWidth="1"/>
    <col min="8453" max="8453" width="13.88671875" style="23" customWidth="1"/>
    <col min="8454" max="8454" width="19.109375" style="23" customWidth="1"/>
    <col min="8455" max="8455" width="12.109375" style="23" customWidth="1"/>
    <col min="8456" max="8456" width="13.88671875" style="23" customWidth="1"/>
    <col min="8457" max="8705" width="8.88671875" style="23"/>
    <col min="8706" max="8706" width="26.44140625" style="23" customWidth="1"/>
    <col min="8707" max="8707" width="13.109375" style="23" customWidth="1"/>
    <col min="8708" max="8708" width="13.5546875" style="23" customWidth="1"/>
    <col min="8709" max="8709" width="13.88671875" style="23" customWidth="1"/>
    <col min="8710" max="8710" width="19.109375" style="23" customWidth="1"/>
    <col min="8711" max="8711" width="12.109375" style="23" customWidth="1"/>
    <col min="8712" max="8712" width="13.88671875" style="23" customWidth="1"/>
    <col min="8713" max="8961" width="8.88671875" style="23"/>
    <col min="8962" max="8962" width="26.44140625" style="23" customWidth="1"/>
    <col min="8963" max="8963" width="13.109375" style="23" customWidth="1"/>
    <col min="8964" max="8964" width="13.5546875" style="23" customWidth="1"/>
    <col min="8965" max="8965" width="13.88671875" style="23" customWidth="1"/>
    <col min="8966" max="8966" width="19.109375" style="23" customWidth="1"/>
    <col min="8967" max="8967" width="12.109375" style="23" customWidth="1"/>
    <col min="8968" max="8968" width="13.88671875" style="23" customWidth="1"/>
    <col min="8969" max="9217" width="8.88671875" style="23"/>
    <col min="9218" max="9218" width="26.44140625" style="23" customWidth="1"/>
    <col min="9219" max="9219" width="13.109375" style="23" customWidth="1"/>
    <col min="9220" max="9220" width="13.5546875" style="23" customWidth="1"/>
    <col min="9221" max="9221" width="13.88671875" style="23" customWidth="1"/>
    <col min="9222" max="9222" width="19.109375" style="23" customWidth="1"/>
    <col min="9223" max="9223" width="12.109375" style="23" customWidth="1"/>
    <col min="9224" max="9224" width="13.88671875" style="23" customWidth="1"/>
    <col min="9225" max="9473" width="8.88671875" style="23"/>
    <col min="9474" max="9474" width="26.44140625" style="23" customWidth="1"/>
    <col min="9475" max="9475" width="13.109375" style="23" customWidth="1"/>
    <col min="9476" max="9476" width="13.5546875" style="23" customWidth="1"/>
    <col min="9477" max="9477" width="13.88671875" style="23" customWidth="1"/>
    <col min="9478" max="9478" width="19.109375" style="23" customWidth="1"/>
    <col min="9479" max="9479" width="12.109375" style="23" customWidth="1"/>
    <col min="9480" max="9480" width="13.88671875" style="23" customWidth="1"/>
    <col min="9481" max="9729" width="8.88671875" style="23"/>
    <col min="9730" max="9730" width="26.44140625" style="23" customWidth="1"/>
    <col min="9731" max="9731" width="13.109375" style="23" customWidth="1"/>
    <col min="9732" max="9732" width="13.5546875" style="23" customWidth="1"/>
    <col min="9733" max="9733" width="13.88671875" style="23" customWidth="1"/>
    <col min="9734" max="9734" width="19.109375" style="23" customWidth="1"/>
    <col min="9735" max="9735" width="12.109375" style="23" customWidth="1"/>
    <col min="9736" max="9736" width="13.88671875" style="23" customWidth="1"/>
    <col min="9737" max="9985" width="8.88671875" style="23"/>
    <col min="9986" max="9986" width="26.44140625" style="23" customWidth="1"/>
    <col min="9987" max="9987" width="13.109375" style="23" customWidth="1"/>
    <col min="9988" max="9988" width="13.5546875" style="23" customWidth="1"/>
    <col min="9989" max="9989" width="13.88671875" style="23" customWidth="1"/>
    <col min="9990" max="9990" width="19.109375" style="23" customWidth="1"/>
    <col min="9991" max="9991" width="12.109375" style="23" customWidth="1"/>
    <col min="9992" max="9992" width="13.88671875" style="23" customWidth="1"/>
    <col min="9993" max="10241" width="8.88671875" style="23"/>
    <col min="10242" max="10242" width="26.44140625" style="23" customWidth="1"/>
    <col min="10243" max="10243" width="13.109375" style="23" customWidth="1"/>
    <col min="10244" max="10244" width="13.5546875" style="23" customWidth="1"/>
    <col min="10245" max="10245" width="13.88671875" style="23" customWidth="1"/>
    <col min="10246" max="10246" width="19.109375" style="23" customWidth="1"/>
    <col min="10247" max="10247" width="12.109375" style="23" customWidth="1"/>
    <col min="10248" max="10248" width="13.88671875" style="23" customWidth="1"/>
    <col min="10249" max="10497" width="8.88671875" style="23"/>
    <col min="10498" max="10498" width="26.44140625" style="23" customWidth="1"/>
    <col min="10499" max="10499" width="13.109375" style="23" customWidth="1"/>
    <col min="10500" max="10500" width="13.5546875" style="23" customWidth="1"/>
    <col min="10501" max="10501" width="13.88671875" style="23" customWidth="1"/>
    <col min="10502" max="10502" width="19.109375" style="23" customWidth="1"/>
    <col min="10503" max="10503" width="12.109375" style="23" customWidth="1"/>
    <col min="10504" max="10504" width="13.88671875" style="23" customWidth="1"/>
    <col min="10505" max="10753" width="8.88671875" style="23"/>
    <col min="10754" max="10754" width="26.44140625" style="23" customWidth="1"/>
    <col min="10755" max="10755" width="13.109375" style="23" customWidth="1"/>
    <col min="10756" max="10756" width="13.5546875" style="23" customWidth="1"/>
    <col min="10757" max="10757" width="13.88671875" style="23" customWidth="1"/>
    <col min="10758" max="10758" width="19.109375" style="23" customWidth="1"/>
    <col min="10759" max="10759" width="12.109375" style="23" customWidth="1"/>
    <col min="10760" max="10760" width="13.88671875" style="23" customWidth="1"/>
    <col min="10761" max="11009" width="8.88671875" style="23"/>
    <col min="11010" max="11010" width="26.44140625" style="23" customWidth="1"/>
    <col min="11011" max="11011" width="13.109375" style="23" customWidth="1"/>
    <col min="11012" max="11012" width="13.5546875" style="23" customWidth="1"/>
    <col min="11013" max="11013" width="13.88671875" style="23" customWidth="1"/>
    <col min="11014" max="11014" width="19.109375" style="23" customWidth="1"/>
    <col min="11015" max="11015" width="12.109375" style="23" customWidth="1"/>
    <col min="11016" max="11016" width="13.88671875" style="23" customWidth="1"/>
    <col min="11017" max="11265" width="8.88671875" style="23"/>
    <col min="11266" max="11266" width="26.44140625" style="23" customWidth="1"/>
    <col min="11267" max="11267" width="13.109375" style="23" customWidth="1"/>
    <col min="11268" max="11268" width="13.5546875" style="23" customWidth="1"/>
    <col min="11269" max="11269" width="13.88671875" style="23" customWidth="1"/>
    <col min="11270" max="11270" width="19.109375" style="23" customWidth="1"/>
    <col min="11271" max="11271" width="12.109375" style="23" customWidth="1"/>
    <col min="11272" max="11272" width="13.88671875" style="23" customWidth="1"/>
    <col min="11273" max="11521" width="8.88671875" style="23"/>
    <col min="11522" max="11522" width="26.44140625" style="23" customWidth="1"/>
    <col min="11523" max="11523" width="13.109375" style="23" customWidth="1"/>
    <col min="11524" max="11524" width="13.5546875" style="23" customWidth="1"/>
    <col min="11525" max="11525" width="13.88671875" style="23" customWidth="1"/>
    <col min="11526" max="11526" width="19.109375" style="23" customWidth="1"/>
    <col min="11527" max="11527" width="12.109375" style="23" customWidth="1"/>
    <col min="11528" max="11528" width="13.88671875" style="23" customWidth="1"/>
    <col min="11529" max="11777" width="8.88671875" style="23"/>
    <col min="11778" max="11778" width="26.44140625" style="23" customWidth="1"/>
    <col min="11779" max="11779" width="13.109375" style="23" customWidth="1"/>
    <col min="11780" max="11780" width="13.5546875" style="23" customWidth="1"/>
    <col min="11781" max="11781" width="13.88671875" style="23" customWidth="1"/>
    <col min="11782" max="11782" width="19.109375" style="23" customWidth="1"/>
    <col min="11783" max="11783" width="12.109375" style="23" customWidth="1"/>
    <col min="11784" max="11784" width="13.88671875" style="23" customWidth="1"/>
    <col min="11785" max="12033" width="8.88671875" style="23"/>
    <col min="12034" max="12034" width="26.44140625" style="23" customWidth="1"/>
    <col min="12035" max="12035" width="13.109375" style="23" customWidth="1"/>
    <col min="12036" max="12036" width="13.5546875" style="23" customWidth="1"/>
    <col min="12037" max="12037" width="13.88671875" style="23" customWidth="1"/>
    <col min="12038" max="12038" width="19.109375" style="23" customWidth="1"/>
    <col min="12039" max="12039" width="12.109375" style="23" customWidth="1"/>
    <col min="12040" max="12040" width="13.88671875" style="23" customWidth="1"/>
    <col min="12041" max="12289" width="8.88671875" style="23"/>
    <col min="12290" max="12290" width="26.44140625" style="23" customWidth="1"/>
    <col min="12291" max="12291" width="13.109375" style="23" customWidth="1"/>
    <col min="12292" max="12292" width="13.5546875" style="23" customWidth="1"/>
    <col min="12293" max="12293" width="13.88671875" style="23" customWidth="1"/>
    <col min="12294" max="12294" width="19.109375" style="23" customWidth="1"/>
    <col min="12295" max="12295" width="12.109375" style="23" customWidth="1"/>
    <col min="12296" max="12296" width="13.88671875" style="23" customWidth="1"/>
    <col min="12297" max="12545" width="8.88671875" style="23"/>
    <col min="12546" max="12546" width="26.44140625" style="23" customWidth="1"/>
    <col min="12547" max="12547" width="13.109375" style="23" customWidth="1"/>
    <col min="12548" max="12548" width="13.5546875" style="23" customWidth="1"/>
    <col min="12549" max="12549" width="13.88671875" style="23" customWidth="1"/>
    <col min="12550" max="12550" width="19.109375" style="23" customWidth="1"/>
    <col min="12551" max="12551" width="12.109375" style="23" customWidth="1"/>
    <col min="12552" max="12552" width="13.88671875" style="23" customWidth="1"/>
    <col min="12553" max="12801" width="8.88671875" style="23"/>
    <col min="12802" max="12802" width="26.44140625" style="23" customWidth="1"/>
    <col min="12803" max="12803" width="13.109375" style="23" customWidth="1"/>
    <col min="12804" max="12804" width="13.5546875" style="23" customWidth="1"/>
    <col min="12805" max="12805" width="13.88671875" style="23" customWidth="1"/>
    <col min="12806" max="12806" width="19.109375" style="23" customWidth="1"/>
    <col min="12807" max="12807" width="12.109375" style="23" customWidth="1"/>
    <col min="12808" max="12808" width="13.88671875" style="23" customWidth="1"/>
    <col min="12809" max="13057" width="8.88671875" style="23"/>
    <col min="13058" max="13058" width="26.44140625" style="23" customWidth="1"/>
    <col min="13059" max="13059" width="13.109375" style="23" customWidth="1"/>
    <col min="13060" max="13060" width="13.5546875" style="23" customWidth="1"/>
    <col min="13061" max="13061" width="13.88671875" style="23" customWidth="1"/>
    <col min="13062" max="13062" width="19.109375" style="23" customWidth="1"/>
    <col min="13063" max="13063" width="12.109375" style="23" customWidth="1"/>
    <col min="13064" max="13064" width="13.88671875" style="23" customWidth="1"/>
    <col min="13065" max="13313" width="8.88671875" style="23"/>
    <col min="13314" max="13314" width="26.44140625" style="23" customWidth="1"/>
    <col min="13315" max="13315" width="13.109375" style="23" customWidth="1"/>
    <col min="13316" max="13316" width="13.5546875" style="23" customWidth="1"/>
    <col min="13317" max="13317" width="13.88671875" style="23" customWidth="1"/>
    <col min="13318" max="13318" width="19.109375" style="23" customWidth="1"/>
    <col min="13319" max="13319" width="12.109375" style="23" customWidth="1"/>
    <col min="13320" max="13320" width="13.88671875" style="23" customWidth="1"/>
    <col min="13321" max="13569" width="8.88671875" style="23"/>
    <col min="13570" max="13570" width="26.44140625" style="23" customWidth="1"/>
    <col min="13571" max="13571" width="13.109375" style="23" customWidth="1"/>
    <col min="13572" max="13572" width="13.5546875" style="23" customWidth="1"/>
    <col min="13573" max="13573" width="13.88671875" style="23" customWidth="1"/>
    <col min="13574" max="13574" width="19.109375" style="23" customWidth="1"/>
    <col min="13575" max="13575" width="12.109375" style="23" customWidth="1"/>
    <col min="13576" max="13576" width="13.88671875" style="23" customWidth="1"/>
    <col min="13577" max="13825" width="8.88671875" style="23"/>
    <col min="13826" max="13826" width="26.44140625" style="23" customWidth="1"/>
    <col min="13827" max="13827" width="13.109375" style="23" customWidth="1"/>
    <col min="13828" max="13828" width="13.5546875" style="23" customWidth="1"/>
    <col min="13829" max="13829" width="13.88671875" style="23" customWidth="1"/>
    <col min="13830" max="13830" width="19.109375" style="23" customWidth="1"/>
    <col min="13831" max="13831" width="12.109375" style="23" customWidth="1"/>
    <col min="13832" max="13832" width="13.88671875" style="23" customWidth="1"/>
    <col min="13833" max="14081" width="8.88671875" style="23"/>
    <col min="14082" max="14082" width="26.44140625" style="23" customWidth="1"/>
    <col min="14083" max="14083" width="13.109375" style="23" customWidth="1"/>
    <col min="14084" max="14084" width="13.5546875" style="23" customWidth="1"/>
    <col min="14085" max="14085" width="13.88671875" style="23" customWidth="1"/>
    <col min="14086" max="14086" width="19.109375" style="23" customWidth="1"/>
    <col min="14087" max="14087" width="12.109375" style="23" customWidth="1"/>
    <col min="14088" max="14088" width="13.88671875" style="23" customWidth="1"/>
    <col min="14089" max="14337" width="8.88671875" style="23"/>
    <col min="14338" max="14338" width="26.44140625" style="23" customWidth="1"/>
    <col min="14339" max="14339" width="13.109375" style="23" customWidth="1"/>
    <col min="14340" max="14340" width="13.5546875" style="23" customWidth="1"/>
    <col min="14341" max="14341" width="13.88671875" style="23" customWidth="1"/>
    <col min="14342" max="14342" width="19.109375" style="23" customWidth="1"/>
    <col min="14343" max="14343" width="12.109375" style="23" customWidth="1"/>
    <col min="14344" max="14344" width="13.88671875" style="23" customWidth="1"/>
    <col min="14345" max="14593" width="8.88671875" style="23"/>
    <col min="14594" max="14594" width="26.44140625" style="23" customWidth="1"/>
    <col min="14595" max="14595" width="13.109375" style="23" customWidth="1"/>
    <col min="14596" max="14596" width="13.5546875" style="23" customWidth="1"/>
    <col min="14597" max="14597" width="13.88671875" style="23" customWidth="1"/>
    <col min="14598" max="14598" width="19.109375" style="23" customWidth="1"/>
    <col min="14599" max="14599" width="12.109375" style="23" customWidth="1"/>
    <col min="14600" max="14600" width="13.88671875" style="23" customWidth="1"/>
    <col min="14601" max="14849" width="8.88671875" style="23"/>
    <col min="14850" max="14850" width="26.44140625" style="23" customWidth="1"/>
    <col min="14851" max="14851" width="13.109375" style="23" customWidth="1"/>
    <col min="14852" max="14852" width="13.5546875" style="23" customWidth="1"/>
    <col min="14853" max="14853" width="13.88671875" style="23" customWidth="1"/>
    <col min="14854" max="14854" width="19.109375" style="23" customWidth="1"/>
    <col min="14855" max="14855" width="12.109375" style="23" customWidth="1"/>
    <col min="14856" max="14856" width="13.88671875" style="23" customWidth="1"/>
    <col min="14857" max="15105" width="8.88671875" style="23"/>
    <col min="15106" max="15106" width="26.44140625" style="23" customWidth="1"/>
    <col min="15107" max="15107" width="13.109375" style="23" customWidth="1"/>
    <col min="15108" max="15108" width="13.5546875" style="23" customWidth="1"/>
    <col min="15109" max="15109" width="13.88671875" style="23" customWidth="1"/>
    <col min="15110" max="15110" width="19.109375" style="23" customWidth="1"/>
    <col min="15111" max="15111" width="12.109375" style="23" customWidth="1"/>
    <col min="15112" max="15112" width="13.88671875" style="23" customWidth="1"/>
    <col min="15113" max="15361" width="8.88671875" style="23"/>
    <col min="15362" max="15362" width="26.44140625" style="23" customWidth="1"/>
    <col min="15363" max="15363" width="13.109375" style="23" customWidth="1"/>
    <col min="15364" max="15364" width="13.5546875" style="23" customWidth="1"/>
    <col min="15365" max="15365" width="13.88671875" style="23" customWidth="1"/>
    <col min="15366" max="15366" width="19.109375" style="23" customWidth="1"/>
    <col min="15367" max="15367" width="12.109375" style="23" customWidth="1"/>
    <col min="15368" max="15368" width="13.88671875" style="23" customWidth="1"/>
    <col min="15369" max="15617" width="8.88671875" style="23"/>
    <col min="15618" max="15618" width="26.44140625" style="23" customWidth="1"/>
    <col min="15619" max="15619" width="13.109375" style="23" customWidth="1"/>
    <col min="15620" max="15620" width="13.5546875" style="23" customWidth="1"/>
    <col min="15621" max="15621" width="13.88671875" style="23" customWidth="1"/>
    <col min="15622" max="15622" width="19.109375" style="23" customWidth="1"/>
    <col min="15623" max="15623" width="12.109375" style="23" customWidth="1"/>
    <col min="15624" max="15624" width="13.88671875" style="23" customWidth="1"/>
    <col min="15625" max="15873" width="8.88671875" style="23"/>
    <col min="15874" max="15874" width="26.44140625" style="23" customWidth="1"/>
    <col min="15875" max="15875" width="13.109375" style="23" customWidth="1"/>
    <col min="15876" max="15876" width="13.5546875" style="23" customWidth="1"/>
    <col min="15877" max="15877" width="13.88671875" style="23" customWidth="1"/>
    <col min="15878" max="15878" width="19.109375" style="23" customWidth="1"/>
    <col min="15879" max="15879" width="12.109375" style="23" customWidth="1"/>
    <col min="15880" max="15880" width="13.88671875" style="23" customWidth="1"/>
    <col min="15881" max="16129" width="8.88671875" style="23"/>
    <col min="16130" max="16130" width="26.44140625" style="23" customWidth="1"/>
    <col min="16131" max="16131" width="13.109375" style="23" customWidth="1"/>
    <col min="16132" max="16132" width="13.5546875" style="23" customWidth="1"/>
    <col min="16133" max="16133" width="13.88671875" style="23" customWidth="1"/>
    <col min="16134" max="16134" width="19.109375" style="23" customWidth="1"/>
    <col min="16135" max="16135" width="12.109375" style="23" customWidth="1"/>
    <col min="16136" max="16136" width="13.88671875" style="23" customWidth="1"/>
    <col min="16137" max="16384" width="8.88671875" style="23"/>
  </cols>
  <sheetData>
    <row r="1" spans="2:8" ht="14.4" thickBot="1"/>
    <row r="2" spans="2:8" ht="28.8" customHeight="1" thickBot="1">
      <c r="B2" s="694" t="s">
        <v>200</v>
      </c>
      <c r="C2" s="696" t="s">
        <v>201</v>
      </c>
      <c r="D2" s="697"/>
      <c r="E2" s="698" t="s">
        <v>202</v>
      </c>
      <c r="F2" s="699"/>
      <c r="G2" s="700" t="str">
        <f>E2</f>
        <v>Wskaźniki emisji CO2 (WE)</v>
      </c>
      <c r="H2" s="701"/>
    </row>
    <row r="3" spans="2:8" ht="43.8" thickBot="1">
      <c r="B3" s="695"/>
      <c r="C3" s="306" t="s">
        <v>203</v>
      </c>
      <c r="D3" s="307" t="s">
        <v>204</v>
      </c>
      <c r="E3" s="306" t="s">
        <v>202</v>
      </c>
      <c r="F3" s="306" t="s">
        <v>204</v>
      </c>
      <c r="G3" s="308" t="str">
        <f>E3</f>
        <v>Wskaźniki emisji CO2 (WE)</v>
      </c>
      <c r="H3" s="309" t="str">
        <f>F3</f>
        <v xml:space="preserve">Jednostka </v>
      </c>
    </row>
    <row r="4" spans="2:8" ht="15.6" thickBot="1">
      <c r="B4" s="310" t="s">
        <v>205</v>
      </c>
      <c r="C4" s="311">
        <v>36.03</v>
      </c>
      <c r="D4" s="312" t="s">
        <v>206</v>
      </c>
      <c r="E4" s="344">
        <v>56.1</v>
      </c>
      <c r="F4" s="314" t="s">
        <v>207</v>
      </c>
      <c r="G4" s="315">
        <f>E4*0.001</f>
        <v>5.6100000000000004E-2</v>
      </c>
      <c r="H4" s="316" t="s">
        <v>132</v>
      </c>
    </row>
    <row r="5" spans="2:8" ht="15.6" thickBot="1">
      <c r="B5" s="317" t="s">
        <v>208</v>
      </c>
      <c r="C5" s="318">
        <v>25.18</v>
      </c>
      <c r="D5" s="319" t="s">
        <v>206</v>
      </c>
      <c r="E5" s="345">
        <v>56.1</v>
      </c>
      <c r="F5" s="320" t="s">
        <v>207</v>
      </c>
      <c r="G5" s="315">
        <f t="shared" ref="G5:G17" si="0">E5*0.001</f>
        <v>5.6100000000000004E-2</v>
      </c>
      <c r="H5" s="321" t="s">
        <v>132</v>
      </c>
    </row>
    <row r="6" spans="2:8" ht="15.6" thickBot="1">
      <c r="B6" s="322" t="s">
        <v>209</v>
      </c>
      <c r="C6" s="347">
        <v>17.600000000000001</v>
      </c>
      <c r="D6" s="324" t="s">
        <v>206</v>
      </c>
      <c r="E6" s="346">
        <v>56.1</v>
      </c>
      <c r="F6" s="325" t="s">
        <v>207</v>
      </c>
      <c r="G6" s="315">
        <f t="shared" si="0"/>
        <v>5.6100000000000004E-2</v>
      </c>
      <c r="H6" s="316" t="s">
        <v>132</v>
      </c>
    </row>
    <row r="7" spans="2:8" ht="27" customHeight="1" thickBot="1">
      <c r="B7" s="326" t="str">
        <f>B8</f>
        <v>Drewno opałowe i odpady pochodzenia drzewnego (biomasa)</v>
      </c>
      <c r="C7" s="323">
        <v>15.6</v>
      </c>
      <c r="D7" s="327" t="str">
        <f>D8</f>
        <v>MJ/kg</v>
      </c>
      <c r="E7" s="328">
        <v>109.76</v>
      </c>
      <c r="F7" s="329" t="str">
        <f>F6</f>
        <v>kg/GJ</v>
      </c>
      <c r="G7" s="330">
        <f>E7*0.001</f>
        <v>0.10976000000000001</v>
      </c>
      <c r="H7" s="327" t="str">
        <f>H6</f>
        <v>Mg CO2/GJ</v>
      </c>
    </row>
    <row r="8" spans="2:8" ht="43.8" thickBot="1">
      <c r="B8" s="331" t="s">
        <v>210</v>
      </c>
      <c r="C8" s="332">
        <v>15.6</v>
      </c>
      <c r="D8" s="332" t="s">
        <v>211</v>
      </c>
      <c r="E8" s="333">
        <v>0</v>
      </c>
      <c r="F8" s="334" t="s">
        <v>207</v>
      </c>
      <c r="G8" s="330">
        <f t="shared" si="0"/>
        <v>0</v>
      </c>
      <c r="H8" s="327" t="s">
        <v>132</v>
      </c>
    </row>
    <row r="9" spans="2:8" ht="15" thickBot="1">
      <c r="B9" s="310" t="s">
        <v>212</v>
      </c>
      <c r="C9" s="335">
        <v>50.4</v>
      </c>
      <c r="D9" s="335" t="s">
        <v>211</v>
      </c>
      <c r="E9" s="313">
        <v>54.33</v>
      </c>
      <c r="F9" s="314" t="s">
        <v>207</v>
      </c>
      <c r="G9" s="315">
        <f t="shared" si="0"/>
        <v>5.4329999999999996E-2</v>
      </c>
      <c r="H9" s="321" t="s">
        <v>132</v>
      </c>
    </row>
    <row r="10" spans="2:8" ht="15" thickBot="1">
      <c r="B10" s="336" t="s">
        <v>213</v>
      </c>
      <c r="C10" s="335">
        <v>28.2</v>
      </c>
      <c r="D10" s="335" t="s">
        <v>211</v>
      </c>
      <c r="E10" s="313">
        <v>106</v>
      </c>
      <c r="F10" s="314" t="s">
        <v>207</v>
      </c>
      <c r="G10" s="315">
        <f t="shared" si="0"/>
        <v>0.106</v>
      </c>
      <c r="H10" s="321" t="s">
        <v>132</v>
      </c>
    </row>
    <row r="11" spans="2:8" ht="15" thickBot="1">
      <c r="B11" s="337" t="s">
        <v>214</v>
      </c>
      <c r="C11" s="385">
        <v>4.7309999999999998E-2</v>
      </c>
      <c r="D11" s="335" t="s">
        <v>215</v>
      </c>
      <c r="E11" s="348">
        <v>63.1</v>
      </c>
      <c r="F11" s="314" t="s">
        <v>207</v>
      </c>
      <c r="G11" s="315">
        <f t="shared" si="0"/>
        <v>6.3100000000000003E-2</v>
      </c>
      <c r="H11" s="321" t="s">
        <v>132</v>
      </c>
    </row>
    <row r="12" spans="2:8" ht="15" thickBot="1">
      <c r="B12" s="336" t="s">
        <v>216</v>
      </c>
      <c r="C12" s="385">
        <v>4.4299999999999999E-2</v>
      </c>
      <c r="D12" s="335" t="s">
        <v>215</v>
      </c>
      <c r="E12" s="348">
        <v>69.3</v>
      </c>
      <c r="F12" s="314" t="s">
        <v>207</v>
      </c>
      <c r="G12" s="315">
        <f t="shared" si="0"/>
        <v>6.93E-2</v>
      </c>
      <c r="H12" s="321" t="s">
        <v>132</v>
      </c>
    </row>
    <row r="13" spans="2:8" ht="15" thickBot="1">
      <c r="B13" s="339" t="s">
        <v>217</v>
      </c>
      <c r="C13" s="335">
        <v>44.3</v>
      </c>
      <c r="D13" s="335" t="s">
        <v>211</v>
      </c>
      <c r="E13" s="348">
        <v>71.5</v>
      </c>
      <c r="F13" s="314" t="s">
        <v>207</v>
      </c>
      <c r="G13" s="315">
        <f t="shared" si="0"/>
        <v>7.1500000000000008E-2</v>
      </c>
      <c r="H13" s="340" t="s">
        <v>132</v>
      </c>
    </row>
    <row r="14" spans="2:8" ht="29.4" thickBot="1">
      <c r="B14" s="339" t="s">
        <v>218</v>
      </c>
      <c r="C14" s="385">
        <v>4.333E-2</v>
      </c>
      <c r="D14" s="335" t="s">
        <v>215</v>
      </c>
      <c r="E14" s="338">
        <v>73.33</v>
      </c>
      <c r="F14" s="314" t="s">
        <v>207</v>
      </c>
      <c r="G14" s="315">
        <f t="shared" si="0"/>
        <v>7.3330000000000006E-2</v>
      </c>
      <c r="H14" s="340" t="s">
        <v>132</v>
      </c>
    </row>
    <row r="15" spans="2:8" ht="15" thickBot="1">
      <c r="B15" s="336" t="s">
        <v>219</v>
      </c>
      <c r="C15" s="335">
        <v>40.4</v>
      </c>
      <c r="D15" s="335" t="s">
        <v>211</v>
      </c>
      <c r="E15" s="338">
        <v>77.400000000000006</v>
      </c>
      <c r="F15" s="314" t="s">
        <v>207</v>
      </c>
      <c r="G15" s="315">
        <f t="shared" si="0"/>
        <v>7.740000000000001E-2</v>
      </c>
      <c r="H15" s="321" t="s">
        <v>132</v>
      </c>
    </row>
    <row r="16" spans="2:8" ht="15" thickBot="1">
      <c r="B16" s="336" t="s">
        <v>220</v>
      </c>
      <c r="C16" s="311">
        <v>22.61</v>
      </c>
      <c r="D16" s="335" t="s">
        <v>211</v>
      </c>
      <c r="E16" s="338">
        <v>94.73</v>
      </c>
      <c r="F16" s="314" t="s">
        <v>207</v>
      </c>
      <c r="G16" s="315">
        <f t="shared" si="0"/>
        <v>9.4730000000000009E-2</v>
      </c>
      <c r="H16" s="340" t="s">
        <v>132</v>
      </c>
    </row>
    <row r="17" spans="2:8" ht="15" thickBot="1">
      <c r="B17" s="341" t="s">
        <v>221</v>
      </c>
      <c r="C17" s="311">
        <v>8.2899999999999991</v>
      </c>
      <c r="D17" s="335" t="s">
        <v>211</v>
      </c>
      <c r="E17" s="338">
        <v>103.82</v>
      </c>
      <c r="F17" s="314" t="s">
        <v>207</v>
      </c>
      <c r="G17" s="315">
        <f t="shared" si="0"/>
        <v>0.10382</v>
      </c>
      <c r="H17" s="316" t="s">
        <v>132</v>
      </c>
    </row>
    <row r="18" spans="2:8" ht="15.6" thickBot="1">
      <c r="B18" s="341" t="s">
        <v>17</v>
      </c>
      <c r="C18" s="335" t="s">
        <v>19</v>
      </c>
      <c r="D18" s="335" t="s">
        <v>19</v>
      </c>
      <c r="E18" s="313">
        <v>0.83150000000000002</v>
      </c>
      <c r="F18" s="314" t="s">
        <v>222</v>
      </c>
      <c r="G18" s="342">
        <f>E18/E26</f>
        <v>0.23097222222222222</v>
      </c>
      <c r="H18" s="321" t="s">
        <v>132</v>
      </c>
    </row>
    <row r="21" spans="2:8" ht="14.4" thickBot="1"/>
    <row r="22" spans="2:8" ht="14.4" thickBot="1">
      <c r="C22" s="702" t="s">
        <v>223</v>
      </c>
      <c r="D22" s="703"/>
      <c r="E22" s="703"/>
      <c r="F22" s="704"/>
    </row>
    <row r="23" spans="2:8">
      <c r="D23" s="23" t="s">
        <v>224</v>
      </c>
      <c r="E23" s="343">
        <v>27.2</v>
      </c>
      <c r="F23" s="343" t="s">
        <v>0</v>
      </c>
    </row>
    <row r="24" spans="2:8">
      <c r="D24" s="23" t="s">
        <v>225</v>
      </c>
      <c r="E24" s="343">
        <v>3.5700000000000003E-2</v>
      </c>
      <c r="F24" s="343" t="s">
        <v>0</v>
      </c>
    </row>
    <row r="25" spans="2:8">
      <c r="D25" s="23" t="s">
        <v>226</v>
      </c>
      <c r="E25" s="343">
        <v>3.5299999999999998E-2</v>
      </c>
      <c r="F25" s="343" t="s">
        <v>0</v>
      </c>
    </row>
    <row r="26" spans="2:8">
      <c r="D26" s="23" t="s">
        <v>227</v>
      </c>
      <c r="E26" s="343">
        <v>3.6</v>
      </c>
      <c r="F26" s="343" t="s">
        <v>0</v>
      </c>
    </row>
  </sheetData>
  <mergeCells count="5">
    <mergeCell ref="B2:B3"/>
    <mergeCell ref="C2:D2"/>
    <mergeCell ref="E2:F2"/>
    <mergeCell ref="G2:H2"/>
    <mergeCell ref="C22:F22"/>
  </mergeCells>
  <pageMargins left="0.7" right="0.7" top="0.75" bottom="0.75" header="0.3" footer="0.3"/>
  <pageSetup paperSize="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view="pageBreakPreview" zoomScale="99" zoomScaleNormal="100" zoomScaleSheetLayoutView="99" workbookViewId="0">
      <selection activeCell="C24" sqref="C24"/>
    </sheetView>
  </sheetViews>
  <sheetFormatPr defaultRowHeight="14.4"/>
  <cols>
    <col min="1" max="1" width="23.5546875" style="125" customWidth="1"/>
    <col min="2" max="2" width="18.109375" style="130" customWidth="1"/>
    <col min="3" max="3" width="20.44140625" style="130" customWidth="1"/>
    <col min="4" max="4" width="20.6640625" style="130" customWidth="1"/>
    <col min="5" max="7" width="19.44140625" style="125" customWidth="1"/>
    <col min="8" max="9" width="8.88671875" style="125"/>
    <col min="10" max="10" width="12.109375" style="125" customWidth="1"/>
    <col min="11" max="11" width="8.88671875" style="125"/>
    <col min="12" max="12" width="12.6640625" style="125" customWidth="1"/>
    <col min="13" max="16384" width="8.88671875" style="125"/>
  </cols>
  <sheetData>
    <row r="1" spans="1:9" ht="15" thickBot="1"/>
    <row r="2" spans="1:9" ht="16.2" thickBot="1">
      <c r="A2" s="846" t="s">
        <v>164</v>
      </c>
      <c r="B2" s="847"/>
      <c r="C2" s="847"/>
      <c r="D2" s="847"/>
      <c r="E2" s="847"/>
      <c r="F2" s="847"/>
      <c r="G2" s="847"/>
      <c r="H2" s="847"/>
      <c r="I2" s="848"/>
    </row>
    <row r="4" spans="1:9" ht="43.2">
      <c r="B4" s="122">
        <v>2015</v>
      </c>
      <c r="C4" s="122" t="s">
        <v>52</v>
      </c>
      <c r="D4" s="123" t="s">
        <v>53</v>
      </c>
      <c r="E4" s="124" t="s">
        <v>54</v>
      </c>
      <c r="F4" s="124" t="s">
        <v>55</v>
      </c>
      <c r="G4" s="124" t="s">
        <v>56</v>
      </c>
    </row>
    <row r="5" spans="1:9">
      <c r="B5" s="126" t="s">
        <v>21</v>
      </c>
      <c r="C5" s="127">
        <f>D5*3.6</f>
        <v>794826.68218200002</v>
      </c>
      <c r="D5" s="127">
        <f>'Sektor mieszkaniowy'!F49</f>
        <v>220785.189495</v>
      </c>
      <c r="E5" s="128">
        <f>C5*C17/1000</f>
        <v>178.83600349095002</v>
      </c>
      <c r="F5" s="128">
        <f>C5*C18/1000</f>
        <v>159.76016311858203</v>
      </c>
      <c r="G5" s="128">
        <f>C5*C19</f>
        <v>111.27573550547999</v>
      </c>
    </row>
    <row r="6" spans="1:9">
      <c r="B6" s="126" t="s">
        <v>23</v>
      </c>
      <c r="C6" s="127">
        <f>D6*3.6</f>
        <v>14628.711942000002</v>
      </c>
      <c r="D6" s="127">
        <f>'Sektor mieszkaniowy'!F52</f>
        <v>4063.5310950000003</v>
      </c>
      <c r="E6" s="128">
        <f>C6*E17/1000</f>
        <v>4.3886135826000004E-2</v>
      </c>
      <c r="F6" s="128">
        <f>C6*E18/1000</f>
        <v>4.3886135826000004E-2</v>
      </c>
      <c r="G6" s="128">
        <f>C6*E19</f>
        <v>0.14628711942000003</v>
      </c>
    </row>
    <row r="7" spans="1:9">
      <c r="B7" s="126" t="s">
        <v>20</v>
      </c>
      <c r="C7" s="127">
        <f>SUM(C5:C6)</f>
        <v>809455.39412399998</v>
      </c>
      <c r="D7" s="127">
        <f>SUM(D5:D6)</f>
        <v>224848.72059000001</v>
      </c>
      <c r="E7" s="129">
        <f>SUM(E5:E6)</f>
        <v>178.87988962677602</v>
      </c>
      <c r="F7" s="129">
        <f>SUM(F5:F6)</f>
        <v>159.80404925440803</v>
      </c>
      <c r="G7" s="129">
        <f>SUM(G5:G6)</f>
        <v>111.42202262489998</v>
      </c>
    </row>
    <row r="9" spans="1:9" ht="43.2">
      <c r="B9" s="122" t="s">
        <v>57</v>
      </c>
      <c r="C9" s="122" t="str">
        <f>C4</f>
        <v>Potrzeby cieplne zaspokajane z danego rodzaju paliwa [GJ]</v>
      </c>
      <c r="D9" s="123" t="str">
        <f>D4</f>
        <v>Potrzeby cieplne zaspokajane z danego rodzaju paliwa [MWh]</v>
      </c>
      <c r="E9" s="124" t="s">
        <v>58</v>
      </c>
      <c r="F9" s="124" t="s">
        <v>59</v>
      </c>
      <c r="G9" s="124" t="s">
        <v>60</v>
      </c>
    </row>
    <row r="10" spans="1:9">
      <c r="B10" s="126" t="s">
        <v>21</v>
      </c>
      <c r="C10" s="127">
        <f>D10*3.6</f>
        <v>854121.09112200001</v>
      </c>
      <c r="D10" s="127">
        <f>'Sektor mieszkaniowy'!F68</f>
        <v>237255.858645</v>
      </c>
      <c r="E10" s="128">
        <f>C10*C17/1000</f>
        <v>192.17724550245001</v>
      </c>
      <c r="F10" s="128">
        <f>C10*C18/1000</f>
        <v>171.67833931552204</v>
      </c>
      <c r="G10" s="128">
        <f>C10*C19</f>
        <v>119.57695275707999</v>
      </c>
    </row>
    <row r="11" spans="1:9">
      <c r="B11" s="126" t="s">
        <v>23</v>
      </c>
      <c r="C11" s="127">
        <f>D11*3.6</f>
        <v>15720.020081999999</v>
      </c>
      <c r="D11" s="127">
        <f>'Sektor mieszkaniowy'!F71</f>
        <v>4366.6722449999997</v>
      </c>
      <c r="E11" s="128">
        <f>C11*E17/1000</f>
        <v>4.7160060246000002E-2</v>
      </c>
      <c r="F11" s="128">
        <f>C11*E18/1000</f>
        <v>4.7160060246000002E-2</v>
      </c>
      <c r="G11" s="128">
        <f>C11*E19</f>
        <v>0.15720020082</v>
      </c>
    </row>
    <row r="12" spans="1:9">
      <c r="B12" s="126" t="s">
        <v>20</v>
      </c>
      <c r="C12" s="127">
        <f>SUM(C10:C11)</f>
        <v>869841.11120399996</v>
      </c>
      <c r="D12" s="127">
        <f>SUM(D10:D11)</f>
        <v>241622.53088999999</v>
      </c>
      <c r="E12" s="129">
        <f>SUM(E10:E11)</f>
        <v>192.22440556269601</v>
      </c>
      <c r="F12" s="129">
        <f>SUM(F10:F11)</f>
        <v>171.72549937576804</v>
      </c>
      <c r="G12" s="129">
        <f>SUM(G10:G11)</f>
        <v>119.73415295789999</v>
      </c>
    </row>
    <row r="14" spans="1:9" ht="15" thickBot="1">
      <c r="E14" s="131"/>
      <c r="F14" s="131"/>
      <c r="G14" s="131"/>
    </row>
    <row r="15" spans="1:9" ht="15" thickBot="1">
      <c r="B15" s="843" t="s">
        <v>61</v>
      </c>
      <c r="C15" s="844"/>
      <c r="D15" s="845"/>
      <c r="E15" s="132"/>
      <c r="F15" s="133"/>
      <c r="G15" s="133"/>
    </row>
    <row r="16" spans="1:9" ht="15" thickBot="1">
      <c r="B16" s="134"/>
      <c r="C16" s="135" t="s">
        <v>62</v>
      </c>
      <c r="D16" s="136" t="s">
        <v>63</v>
      </c>
      <c r="E16" s="136" t="s">
        <v>64</v>
      </c>
    </row>
    <row r="17" spans="2:5">
      <c r="B17" s="137" t="s">
        <v>65</v>
      </c>
      <c r="C17" s="138">
        <f>225/1000</f>
        <v>0.22500000000000001</v>
      </c>
      <c r="D17" s="139">
        <f>0.5/1000</f>
        <v>5.0000000000000001E-4</v>
      </c>
      <c r="E17" s="139">
        <f>3/1000</f>
        <v>3.0000000000000001E-3</v>
      </c>
    </row>
    <row r="18" spans="2:5">
      <c r="B18" s="137" t="s">
        <v>66</v>
      </c>
      <c r="C18" s="138">
        <f>201/1000</f>
        <v>0.20100000000000001</v>
      </c>
      <c r="D18" s="139">
        <f>0.5/1000</f>
        <v>5.0000000000000001E-4</v>
      </c>
      <c r="E18" s="139">
        <f>3/1000</f>
        <v>3.0000000000000001E-3</v>
      </c>
    </row>
    <row r="19" spans="2:5" ht="15" thickBot="1">
      <c r="B19" s="140" t="s">
        <v>67</v>
      </c>
      <c r="C19" s="141">
        <f>14/100000</f>
        <v>1.3999999999999999E-4</v>
      </c>
      <c r="D19" s="142">
        <v>0</v>
      </c>
      <c r="E19" s="142">
        <f>10/1000000</f>
        <v>1.0000000000000001E-5</v>
      </c>
    </row>
    <row r="21" spans="2:5">
      <c r="B21" s="143"/>
      <c r="C21" s="143"/>
      <c r="D21" s="143"/>
    </row>
  </sheetData>
  <mergeCells count="2">
    <mergeCell ref="B15:D15"/>
    <mergeCell ref="A2:I2"/>
  </mergeCells>
  <pageMargins left="0.7" right="0.7" top="0.75" bottom="0.75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showGridLines="0" view="pageBreakPreview" topLeftCell="D43" zoomScale="93" zoomScaleNormal="100" zoomScaleSheetLayoutView="93" workbookViewId="0">
      <selection activeCell="E26" sqref="E26"/>
    </sheetView>
  </sheetViews>
  <sheetFormatPr defaultRowHeight="13.8"/>
  <cols>
    <col min="1" max="1" width="7.21875" style="23" customWidth="1"/>
    <col min="2" max="2" width="27.77734375" style="23" customWidth="1"/>
    <col min="3" max="3" width="15" style="23" customWidth="1"/>
    <col min="4" max="4" width="15.109375" style="23" customWidth="1"/>
    <col min="5" max="6" width="14.44140625" style="23" bestFit="1" customWidth="1"/>
    <col min="7" max="7" width="15.6640625" style="23" customWidth="1"/>
    <col min="8" max="8" width="14.77734375" style="23" customWidth="1"/>
    <col min="9" max="9" width="14.109375" style="23" customWidth="1"/>
    <col min="10" max="10" width="17.109375" style="23" customWidth="1"/>
    <col min="11" max="11" width="12.21875" style="23" bestFit="1" customWidth="1"/>
    <col min="12" max="16384" width="8.88671875" style="23"/>
  </cols>
  <sheetData>
    <row r="1" spans="2:11" ht="14.4" thickBot="1"/>
    <row r="2" spans="2:11" ht="21" customHeight="1" thickBot="1">
      <c r="B2" s="849" t="s">
        <v>165</v>
      </c>
      <c r="C2" s="850"/>
      <c r="D2" s="850"/>
      <c r="E2" s="850"/>
      <c r="F2" s="850"/>
      <c r="G2" s="850"/>
      <c r="H2" s="850"/>
      <c r="I2" s="850"/>
      <c r="J2" s="851"/>
    </row>
    <row r="3" spans="2:11" ht="14.4" thickBot="1"/>
    <row r="4" spans="2:11" ht="16.8" thickTop="1" thickBot="1">
      <c r="B4" s="855" t="s">
        <v>68</v>
      </c>
      <c r="C4" s="858" t="s">
        <v>257</v>
      </c>
      <c r="D4" s="858"/>
      <c r="E4" s="858"/>
      <c r="F4" s="858"/>
      <c r="G4" s="858"/>
      <c r="H4" s="858"/>
      <c r="I4" s="858"/>
      <c r="J4" s="859"/>
    </row>
    <row r="5" spans="2:11">
      <c r="B5" s="856"/>
      <c r="C5" s="860" t="s">
        <v>17</v>
      </c>
      <c r="D5" s="862" t="s">
        <v>69</v>
      </c>
      <c r="E5" s="863"/>
      <c r="F5" s="863"/>
      <c r="G5" s="863"/>
      <c r="H5" s="864"/>
      <c r="I5" s="865" t="s">
        <v>70</v>
      </c>
      <c r="J5" s="867" t="s">
        <v>71</v>
      </c>
    </row>
    <row r="6" spans="2:11" ht="14.4" thickBot="1">
      <c r="B6" s="857"/>
      <c r="C6" s="861"/>
      <c r="D6" s="145" t="s">
        <v>540</v>
      </c>
      <c r="E6" s="146" t="s">
        <v>2</v>
      </c>
      <c r="F6" s="145" t="s">
        <v>73</v>
      </c>
      <c r="G6" s="145" t="s">
        <v>32</v>
      </c>
      <c r="H6" s="147" t="s">
        <v>39</v>
      </c>
      <c r="I6" s="866"/>
      <c r="J6" s="868"/>
    </row>
    <row r="7" spans="2:11" ht="16.8" thickTop="1" thickBot="1">
      <c r="B7" s="148" t="s">
        <v>74</v>
      </c>
      <c r="C7" s="852" t="s">
        <v>75</v>
      </c>
      <c r="D7" s="853"/>
      <c r="E7" s="853"/>
      <c r="F7" s="853"/>
      <c r="G7" s="853"/>
      <c r="H7" s="853"/>
      <c r="I7" s="853"/>
      <c r="J7" s="149"/>
    </row>
    <row r="8" spans="2:11" ht="31.5" customHeight="1">
      <c r="B8" s="150" t="s">
        <v>76</v>
      </c>
      <c r="C8" s="151">
        <f>'Sektor mieszkaniowy'!G51</f>
        <v>7320.8296000000009</v>
      </c>
      <c r="D8" s="152">
        <f>'Sektor mieszkaniowy'!G50</f>
        <v>6396.2989458333341</v>
      </c>
      <c r="E8" s="152">
        <f>'Sektor mieszkaniowy'!G52</f>
        <v>1128.7586375000001</v>
      </c>
      <c r="F8" s="152">
        <v>0</v>
      </c>
      <c r="G8" s="152">
        <v>0</v>
      </c>
      <c r="H8" s="152">
        <f>'Sektor mieszkaniowy'!G49</f>
        <v>61329.219304166661</v>
      </c>
      <c r="I8" s="153">
        <f>'Sektor mieszkaniowy'!G53</f>
        <v>6396.2989458333341</v>
      </c>
      <c r="J8" s="154">
        <f>SUM(C8:I8)</f>
        <v>82571.405433333333</v>
      </c>
    </row>
    <row r="9" spans="2:11" ht="31.5" customHeight="1">
      <c r="B9" s="155" t="s">
        <v>77</v>
      </c>
      <c r="C9" s="151">
        <f>'Sektor użyteczności publicznej'!D9</f>
        <v>1734.73</v>
      </c>
      <c r="D9" s="152">
        <f>'Sektor użyteczności publicznej'!H9</f>
        <v>287.52746000000002</v>
      </c>
      <c r="E9" s="152">
        <f>'Sektor użyteczności publicznej'!D12</f>
        <v>0</v>
      </c>
      <c r="F9" s="152">
        <v>0</v>
      </c>
      <c r="G9" s="152">
        <v>0</v>
      </c>
      <c r="H9" s="152" t="s">
        <v>19</v>
      </c>
      <c r="I9" s="153" t="s">
        <v>19</v>
      </c>
      <c r="J9" s="156">
        <f>SUM(C9:I9)</f>
        <v>2022.25746</v>
      </c>
      <c r="K9" s="157"/>
    </row>
    <row r="10" spans="2:11" ht="31.5" customHeight="1">
      <c r="B10" s="155" t="s">
        <v>35</v>
      </c>
      <c r="C10" s="151">
        <f>'Sektor Handlu i Usług'!D7</f>
        <v>6245</v>
      </c>
      <c r="D10" s="152">
        <v>0</v>
      </c>
      <c r="E10" s="152">
        <f>'Sektor Handlu i Usług'!D9</f>
        <v>188</v>
      </c>
      <c r="F10" s="152">
        <v>0</v>
      </c>
      <c r="G10" s="152">
        <v>0</v>
      </c>
      <c r="H10" s="152">
        <f>'Sektor Handlu i Usług'!D8</f>
        <v>5780</v>
      </c>
      <c r="I10" s="446">
        <v>0</v>
      </c>
      <c r="J10" s="156">
        <f>SUM(C10:I10)</f>
        <v>12213</v>
      </c>
    </row>
    <row r="11" spans="2:11" ht="31.5" customHeight="1" thickBot="1">
      <c r="B11" s="158" t="s">
        <v>78</v>
      </c>
      <c r="C11" s="151">
        <f>'Sektor oświetlenia ulicznego'!F8</f>
        <v>405.65</v>
      </c>
      <c r="D11" s="152">
        <v>0</v>
      </c>
      <c r="E11" s="152">
        <v>0</v>
      </c>
      <c r="F11" s="152">
        <v>0</v>
      </c>
      <c r="G11" s="152">
        <v>0</v>
      </c>
      <c r="H11" s="152">
        <v>0</v>
      </c>
      <c r="I11" s="153">
        <v>0</v>
      </c>
      <c r="J11" s="159">
        <f>SUM(C11:I11)</f>
        <v>405.65</v>
      </c>
    </row>
    <row r="12" spans="2:11" ht="15.6">
      <c r="B12" s="160" t="s">
        <v>79</v>
      </c>
      <c r="C12" s="854"/>
      <c r="D12" s="854"/>
      <c r="E12" s="854"/>
      <c r="F12" s="854"/>
      <c r="G12" s="854"/>
      <c r="H12" s="854"/>
      <c r="I12" s="854"/>
      <c r="J12" s="161"/>
    </row>
    <row r="13" spans="2:11" ht="33.75" customHeight="1" thickBot="1">
      <c r="B13" s="162" t="s">
        <v>80</v>
      </c>
      <c r="C13" s="163">
        <v>0</v>
      </c>
      <c r="D13" s="164">
        <f>'Sektor transportu'!M24</f>
        <v>2892.7043355638752</v>
      </c>
      <c r="E13" s="164">
        <v>0</v>
      </c>
      <c r="F13" s="164">
        <f>'Sektor transportu'!M23</f>
        <v>11113.799514503777</v>
      </c>
      <c r="G13" s="164">
        <f>'Sektor transportu'!M22</f>
        <v>15592.646782720001</v>
      </c>
      <c r="H13" s="164" t="s">
        <v>19</v>
      </c>
      <c r="I13" s="165">
        <v>0</v>
      </c>
      <c r="J13" s="159">
        <f>SUM(C13:I13)</f>
        <v>29599.150632787656</v>
      </c>
    </row>
    <row r="14" spans="2:11" ht="16.2" thickBot="1">
      <c r="B14" s="166" t="s">
        <v>71</v>
      </c>
      <c r="C14" s="167">
        <f>SUM(C8:C11,C13)</f>
        <v>15706.2096</v>
      </c>
      <c r="D14" s="168">
        <f>D13+D8+D9</f>
        <v>9576.5307413972096</v>
      </c>
      <c r="E14" s="168">
        <f>SUM(E8:E11,E13)</f>
        <v>1316.7586375000001</v>
      </c>
      <c r="F14" s="168">
        <f>SUM(F8:F11,F13)</f>
        <v>11113.799514503777</v>
      </c>
      <c r="G14" s="168">
        <f>SUM(G8:G11,G13)</f>
        <v>15592.646782720001</v>
      </c>
      <c r="H14" s="168">
        <f>SUM(H8:H11)</f>
        <v>67109.219304166661</v>
      </c>
      <c r="I14" s="169">
        <f>SUM(I8:I11,I13)</f>
        <v>6396.2989458333341</v>
      </c>
      <c r="J14" s="170">
        <f>SUM(J8:J11,J13)</f>
        <v>126811.46352612098</v>
      </c>
    </row>
    <row r="15" spans="2:11" ht="14.4" thickBot="1">
      <c r="J15" s="157"/>
    </row>
    <row r="16" spans="2:11" ht="16.8" thickTop="1" thickBot="1">
      <c r="B16" s="855" t="s">
        <v>68</v>
      </c>
      <c r="C16" s="858" t="s">
        <v>278</v>
      </c>
      <c r="D16" s="858"/>
      <c r="E16" s="858"/>
      <c r="F16" s="858"/>
      <c r="G16" s="858"/>
      <c r="H16" s="858"/>
      <c r="I16" s="858"/>
      <c r="J16" s="859"/>
    </row>
    <row r="17" spans="2:11">
      <c r="B17" s="856"/>
      <c r="C17" s="860" t="s">
        <v>17</v>
      </c>
      <c r="D17" s="862" t="s">
        <v>69</v>
      </c>
      <c r="E17" s="863"/>
      <c r="F17" s="863"/>
      <c r="G17" s="863"/>
      <c r="H17" s="864"/>
      <c r="I17" s="865" t="s">
        <v>70</v>
      </c>
      <c r="J17" s="867" t="s">
        <v>71</v>
      </c>
    </row>
    <row r="18" spans="2:11" ht="14.4" thickBot="1">
      <c r="B18" s="857"/>
      <c r="C18" s="861"/>
      <c r="D18" s="145" t="s">
        <v>540</v>
      </c>
      <c r="E18" s="146" t="s">
        <v>2</v>
      </c>
      <c r="F18" s="145" t="s">
        <v>73</v>
      </c>
      <c r="G18" s="145" t="s">
        <v>32</v>
      </c>
      <c r="H18" s="147" t="s">
        <v>39</v>
      </c>
      <c r="I18" s="866"/>
      <c r="J18" s="868"/>
    </row>
    <row r="19" spans="2:11" ht="16.8" thickTop="1" thickBot="1">
      <c r="B19" s="171" t="s">
        <v>74</v>
      </c>
      <c r="C19" s="852" t="s">
        <v>75</v>
      </c>
      <c r="D19" s="853"/>
      <c r="E19" s="853"/>
      <c r="F19" s="853"/>
      <c r="G19" s="853"/>
      <c r="H19" s="853"/>
      <c r="I19" s="853"/>
      <c r="J19" s="149"/>
    </row>
    <row r="20" spans="2:11" ht="30.75" customHeight="1">
      <c r="B20" s="150" t="s">
        <v>76</v>
      </c>
      <c r="C20" s="151">
        <f>'Sektor mieszkaniowy'!C44</f>
        <v>7351.169503494345</v>
      </c>
      <c r="D20" s="152">
        <f>'Sektor mieszkaniowy'!G69</f>
        <v>6873.4655708333339</v>
      </c>
      <c r="E20" s="152">
        <f>'Sektor mieszkaniowy'!G71</f>
        <v>1212.9645125</v>
      </c>
      <c r="F20" s="152" t="s">
        <v>19</v>
      </c>
      <c r="G20" s="152" t="s">
        <v>19</v>
      </c>
      <c r="H20" s="152">
        <f>'Sektor mieszkaniowy'!G68</f>
        <v>65904.405179166672</v>
      </c>
      <c r="I20" s="153">
        <f>'Sektor mieszkaniowy'!G72</f>
        <v>6873.4655708333339</v>
      </c>
      <c r="J20" s="154">
        <f>SUM(C20:I20)</f>
        <v>88215.470336827682</v>
      </c>
    </row>
    <row r="21" spans="2:11" ht="30.75" customHeight="1">
      <c r="B21" s="155" t="str">
        <f>B9</f>
        <v>Sektor użyteczności publicznej</v>
      </c>
      <c r="C21" s="151">
        <f>'Sektor użyteczności publicznej'!D9</f>
        <v>1734.73</v>
      </c>
      <c r="D21" s="152">
        <f t="shared" ref="D21:I21" si="0">D9</f>
        <v>287.52746000000002</v>
      </c>
      <c r="E21" s="152">
        <f t="shared" si="0"/>
        <v>0</v>
      </c>
      <c r="F21" s="152">
        <f t="shared" si="0"/>
        <v>0</v>
      </c>
      <c r="G21" s="152">
        <f t="shared" si="0"/>
        <v>0</v>
      </c>
      <c r="H21" s="152" t="str">
        <f t="shared" si="0"/>
        <v>-</v>
      </c>
      <c r="I21" s="153" t="str">
        <f t="shared" si="0"/>
        <v>-</v>
      </c>
      <c r="J21" s="156">
        <f>SUM(C21:I21)</f>
        <v>2022.25746</v>
      </c>
    </row>
    <row r="22" spans="2:11" ht="30.75" customHeight="1">
      <c r="B22" s="172" t="str">
        <f>B10</f>
        <v>Sektor handlu i usług</v>
      </c>
      <c r="C22" s="151">
        <f>'Sektor Handlu i Usług'!D24</f>
        <v>6270.881315052352</v>
      </c>
      <c r="D22" s="152">
        <v>0</v>
      </c>
      <c r="E22" s="152">
        <f>'Sektor Handlu i Usług'!D26</f>
        <v>188.77913326338543</v>
      </c>
      <c r="F22" s="152">
        <v>0</v>
      </c>
      <c r="G22" s="152">
        <v>0</v>
      </c>
      <c r="H22" s="152">
        <f>'Sektor Handlu i Usług'!D25</f>
        <v>5803.9542035232334</v>
      </c>
      <c r="I22" s="152">
        <v>0</v>
      </c>
      <c r="J22" s="156">
        <f>SUM(C22:I22)</f>
        <v>12263.614651838971</v>
      </c>
      <c r="K22" s="157"/>
    </row>
    <row r="23" spans="2:11" ht="30.75" customHeight="1" thickBot="1">
      <c r="B23" s="158" t="s">
        <v>78</v>
      </c>
      <c r="C23" s="151">
        <f>'Sektor oświetlenia ulicznego'!F8</f>
        <v>405.65</v>
      </c>
      <c r="D23" s="152">
        <f t="shared" ref="D23:I23" si="1">D11</f>
        <v>0</v>
      </c>
      <c r="E23" s="152">
        <f t="shared" si="1"/>
        <v>0</v>
      </c>
      <c r="F23" s="152">
        <f t="shared" si="1"/>
        <v>0</v>
      </c>
      <c r="G23" s="152">
        <f t="shared" si="1"/>
        <v>0</v>
      </c>
      <c r="H23" s="152">
        <f t="shared" si="1"/>
        <v>0</v>
      </c>
      <c r="I23" s="153">
        <f t="shared" si="1"/>
        <v>0</v>
      </c>
      <c r="J23" s="159">
        <f>SUM(C23:I23)</f>
        <v>405.65</v>
      </c>
    </row>
    <row r="24" spans="2:11" ht="15.6">
      <c r="B24" s="160" t="s">
        <v>79</v>
      </c>
      <c r="C24" s="854"/>
      <c r="D24" s="854"/>
      <c r="E24" s="854"/>
      <c r="F24" s="854"/>
      <c r="G24" s="854"/>
      <c r="H24" s="854"/>
      <c r="I24" s="854"/>
      <c r="J24" s="161"/>
    </row>
    <row r="25" spans="2:11" ht="33.75" customHeight="1" thickBot="1">
      <c r="B25" s="162" t="str">
        <f>B13</f>
        <v>Sektor transportu</v>
      </c>
      <c r="C25" s="163">
        <v>0</v>
      </c>
      <c r="D25" s="164">
        <f>'Sektor transportu'!M72</f>
        <v>2904.6926449733273</v>
      </c>
      <c r="E25" s="164" t="s">
        <v>19</v>
      </c>
      <c r="F25" s="164">
        <f>'Sektor transportu'!M71</f>
        <v>11159.858721335408</v>
      </c>
      <c r="G25" s="164">
        <f>'Sektor transportu'!M70</f>
        <v>15661.946561424234</v>
      </c>
      <c r="H25" s="164" t="s">
        <v>19</v>
      </c>
      <c r="I25" s="165">
        <v>0</v>
      </c>
      <c r="J25" s="159">
        <f>SUM(C25:I25)</f>
        <v>29726.497927732969</v>
      </c>
    </row>
    <row r="26" spans="2:11" ht="16.2" thickBot="1">
      <c r="B26" s="166" t="s">
        <v>71</v>
      </c>
      <c r="C26" s="167">
        <f t="shared" ref="C26:J26" si="2">SUM(C20:C23,C25)</f>
        <v>15762.430818546696</v>
      </c>
      <c r="D26" s="168">
        <f t="shared" si="2"/>
        <v>10065.685675806661</v>
      </c>
      <c r="E26" s="168">
        <f t="shared" si="2"/>
        <v>1401.7436457633853</v>
      </c>
      <c r="F26" s="168">
        <f t="shared" si="2"/>
        <v>11159.858721335408</v>
      </c>
      <c r="G26" s="168">
        <f t="shared" si="2"/>
        <v>15661.946561424234</v>
      </c>
      <c r="H26" s="168">
        <f t="shared" si="2"/>
        <v>71708.359382689901</v>
      </c>
      <c r="I26" s="169">
        <f t="shared" si="2"/>
        <v>6873.4655708333339</v>
      </c>
      <c r="J26" s="170">
        <f t="shared" si="2"/>
        <v>132633.4903763996</v>
      </c>
    </row>
    <row r="30" spans="2:11">
      <c r="H30" s="157"/>
    </row>
  </sheetData>
  <mergeCells count="17">
    <mergeCell ref="C19:I19"/>
    <mergeCell ref="C24:I24"/>
    <mergeCell ref="B2:J2"/>
    <mergeCell ref="C7:I7"/>
    <mergeCell ref="C12:I12"/>
    <mergeCell ref="B16:B18"/>
    <mergeCell ref="C16:J16"/>
    <mergeCell ref="C17:C18"/>
    <mergeCell ref="D17:H17"/>
    <mergeCell ref="I17:I18"/>
    <mergeCell ref="J17:J18"/>
    <mergeCell ref="B4:B6"/>
    <mergeCell ref="C4:J4"/>
    <mergeCell ref="C5:C6"/>
    <mergeCell ref="D5:H5"/>
    <mergeCell ref="I5:I6"/>
    <mergeCell ref="J5:J6"/>
  </mergeCells>
  <pageMargins left="0.7" right="0.7" top="0.75" bottom="0.75" header="0.3" footer="0.3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showGridLines="0" view="pageBreakPreview" topLeftCell="E16" zoomScale="89" zoomScaleNormal="100" zoomScaleSheetLayoutView="89" workbookViewId="0">
      <selection activeCell="D14" sqref="D14"/>
    </sheetView>
  </sheetViews>
  <sheetFormatPr defaultRowHeight="13.8"/>
  <cols>
    <col min="1" max="1" width="4.33203125" style="23" customWidth="1"/>
    <col min="2" max="2" width="29.109375" style="23" customWidth="1"/>
    <col min="3" max="3" width="14" style="23" customWidth="1"/>
    <col min="4" max="5" width="13" style="23" customWidth="1"/>
    <col min="6" max="6" width="16.88671875" style="23" customWidth="1"/>
    <col min="7" max="7" width="13" style="23" customWidth="1"/>
    <col min="8" max="8" width="16.33203125" style="23" customWidth="1"/>
    <col min="9" max="9" width="13" style="23" customWidth="1"/>
    <col min="10" max="10" width="14.44140625" style="23" customWidth="1"/>
    <col min="11" max="11" width="19.77734375" style="23" customWidth="1"/>
    <col min="12" max="12" width="17.44140625" style="23" customWidth="1"/>
    <col min="13" max="16384" width="8.88671875" style="23"/>
  </cols>
  <sheetData>
    <row r="1" spans="2:13" ht="14.4" thickBot="1"/>
    <row r="2" spans="2:13" ht="19.8" customHeight="1" thickBot="1">
      <c r="B2" s="869" t="s">
        <v>169</v>
      </c>
      <c r="C2" s="870"/>
      <c r="D2" s="870"/>
      <c r="E2" s="870"/>
      <c r="F2" s="870"/>
      <c r="G2" s="870"/>
      <c r="H2" s="870"/>
      <c r="I2" s="870"/>
      <c r="J2" s="871"/>
    </row>
    <row r="3" spans="2:13" ht="14.4" thickBot="1"/>
    <row r="4" spans="2:13" ht="16.8" thickTop="1" thickBot="1">
      <c r="B4" s="855" t="s">
        <v>68</v>
      </c>
      <c r="C4" s="858" t="s">
        <v>258</v>
      </c>
      <c r="D4" s="858"/>
      <c r="E4" s="858"/>
      <c r="F4" s="858"/>
      <c r="G4" s="858"/>
      <c r="H4" s="858"/>
      <c r="I4" s="858"/>
      <c r="J4" s="859"/>
    </row>
    <row r="5" spans="2:13">
      <c r="B5" s="856"/>
      <c r="C5" s="860" t="s">
        <v>17</v>
      </c>
      <c r="D5" s="862" t="s">
        <v>69</v>
      </c>
      <c r="E5" s="863"/>
      <c r="F5" s="863"/>
      <c r="G5" s="863"/>
      <c r="H5" s="864"/>
      <c r="I5" s="865" t="s">
        <v>70</v>
      </c>
      <c r="J5" s="867" t="s">
        <v>71</v>
      </c>
    </row>
    <row r="6" spans="2:13" ht="14.4" thickBot="1">
      <c r="B6" s="857"/>
      <c r="C6" s="861"/>
      <c r="D6" s="145" t="s">
        <v>72</v>
      </c>
      <c r="E6" s="146" t="s">
        <v>2</v>
      </c>
      <c r="F6" s="145" t="s">
        <v>73</v>
      </c>
      <c r="G6" s="145" t="s">
        <v>32</v>
      </c>
      <c r="H6" s="147" t="s">
        <v>39</v>
      </c>
      <c r="I6" s="866"/>
      <c r="J6" s="868"/>
    </row>
    <row r="7" spans="2:13" ht="16.8" thickTop="1" thickBot="1">
      <c r="B7" s="148" t="s">
        <v>74</v>
      </c>
      <c r="C7" s="852" t="s">
        <v>75</v>
      </c>
      <c r="D7" s="853"/>
      <c r="E7" s="853"/>
      <c r="F7" s="853"/>
      <c r="G7" s="853"/>
      <c r="H7" s="853"/>
      <c r="I7" s="853"/>
      <c r="J7" s="149"/>
    </row>
    <row r="8" spans="2:13" ht="33.75" customHeight="1">
      <c r="B8" s="150" t="s">
        <v>76</v>
      </c>
      <c r="C8" s="151">
        <f>'Sektor mieszkaniowy'!I51</f>
        <v>6087.2698124000008</v>
      </c>
      <c r="D8" s="152">
        <f>'Sektor mieszkaniowy'!I50</f>
        <v>1291.7965351005003</v>
      </c>
      <c r="E8" s="152">
        <f>'Sektor mieszkaniowy'!I52</f>
        <v>314.51730675300007</v>
      </c>
      <c r="F8" s="152">
        <v>0</v>
      </c>
      <c r="G8" s="152">
        <v>0</v>
      </c>
      <c r="H8" s="152">
        <f>'Sektor mieszkaniowy'!I49</f>
        <v>20914.981000861353</v>
      </c>
      <c r="I8" s="153" t="str">
        <f>'Sektor mieszkaniowy'!I53</f>
        <v>-</v>
      </c>
      <c r="J8" s="154">
        <f>SUM(C8:I8)</f>
        <v>28608.564655114853</v>
      </c>
      <c r="K8" s="173"/>
      <c r="L8" s="157"/>
      <c r="M8" s="173"/>
    </row>
    <row r="9" spans="2:13" ht="33.75" customHeight="1">
      <c r="B9" s="172" t="s">
        <v>77</v>
      </c>
      <c r="C9" s="151">
        <f>'Sektor użyteczności publicznej'!J9</f>
        <v>1442.427995</v>
      </c>
      <c r="D9" s="152">
        <f>'Sektor użyteczności publicznej'!K9</f>
        <v>58.069045821600007</v>
      </c>
      <c r="E9" s="152">
        <f>'Sektor użyteczności publicznej'!E12</f>
        <v>0</v>
      </c>
      <c r="F9" s="152">
        <v>0</v>
      </c>
      <c r="G9" s="152">
        <v>0</v>
      </c>
      <c r="H9" s="152" t="s">
        <v>19</v>
      </c>
      <c r="I9" s="153" t="s">
        <v>19</v>
      </c>
      <c r="J9" s="156">
        <f>SUM(C9:I9)</f>
        <v>1500.4970408216</v>
      </c>
      <c r="K9" s="173"/>
      <c r="L9" s="157"/>
      <c r="M9" s="173"/>
    </row>
    <row r="10" spans="2:13" ht="33.75" customHeight="1">
      <c r="B10" s="172" t="s">
        <v>35</v>
      </c>
      <c r="C10" s="151">
        <f>'Sektor Handlu i Usług'!G7</f>
        <v>5192.7174999999997</v>
      </c>
      <c r="D10" s="152">
        <v>0</v>
      </c>
      <c r="E10" s="152">
        <f>'Sektor Handlu i Usług'!G9</f>
        <v>52.38432000000001</v>
      </c>
      <c r="F10" s="152">
        <v>0</v>
      </c>
      <c r="G10" s="152">
        <v>0</v>
      </c>
      <c r="H10" s="152">
        <f>'Sektor Handlu i Usług'!G8</f>
        <v>1971.1418400000002</v>
      </c>
      <c r="I10" s="153">
        <v>0</v>
      </c>
      <c r="J10" s="156">
        <f>SUM(C10:I10)</f>
        <v>7216.2436600000001</v>
      </c>
      <c r="K10" s="173"/>
      <c r="L10" s="157"/>
      <c r="M10" s="173"/>
    </row>
    <row r="11" spans="2:13" ht="33.75" customHeight="1" thickBot="1">
      <c r="B11" s="158" t="s">
        <v>78</v>
      </c>
      <c r="C11" s="151">
        <f>'Sektor oświetlenia ulicznego'!H8</f>
        <v>337.29797500000001</v>
      </c>
      <c r="D11" s="152">
        <v>0</v>
      </c>
      <c r="E11" s="152">
        <v>0</v>
      </c>
      <c r="F11" s="152">
        <v>0</v>
      </c>
      <c r="G11" s="152">
        <v>0</v>
      </c>
      <c r="H11" s="152">
        <v>0</v>
      </c>
      <c r="I11" s="153">
        <v>0</v>
      </c>
      <c r="J11" s="159">
        <f>SUM(C11:I11)</f>
        <v>337.29797500000001</v>
      </c>
      <c r="K11" s="173"/>
      <c r="L11" s="157"/>
      <c r="M11" s="173"/>
    </row>
    <row r="12" spans="2:13" ht="15.6">
      <c r="B12" s="160" t="s">
        <v>79</v>
      </c>
      <c r="C12" s="854"/>
      <c r="D12" s="854"/>
      <c r="E12" s="854"/>
      <c r="F12" s="854"/>
      <c r="G12" s="854"/>
      <c r="H12" s="854"/>
      <c r="I12" s="854"/>
      <c r="J12" s="161"/>
      <c r="K12" s="173"/>
      <c r="L12" s="157"/>
      <c r="M12" s="173"/>
    </row>
    <row r="13" spans="2:13" ht="27" customHeight="1" thickBot="1">
      <c r="B13" s="162" t="s">
        <v>80</v>
      </c>
      <c r="C13" s="163">
        <v>0</v>
      </c>
      <c r="D13" s="164">
        <f>'Sektor transportu'!P24</f>
        <v>650.23365136539007</v>
      </c>
      <c r="E13" s="164" t="s">
        <v>19</v>
      </c>
      <c r="F13" s="164">
        <f>'Sektor transportu'!P23</f>
        <v>2933.9097062348233</v>
      </c>
      <c r="G13" s="164">
        <f>'Sektor transportu'!P22</f>
        <v>3851.3213847447096</v>
      </c>
      <c r="H13" s="164">
        <v>0</v>
      </c>
      <c r="I13" s="165">
        <v>0</v>
      </c>
      <c r="J13" s="159">
        <f>SUM(C13:I13)</f>
        <v>7435.4647423449223</v>
      </c>
      <c r="L13" s="157"/>
    </row>
    <row r="14" spans="2:13" ht="16.2" thickBot="1">
      <c r="B14" s="174" t="s">
        <v>71</v>
      </c>
      <c r="C14" s="167">
        <f t="shared" ref="C14:J14" si="0">SUM(C8:C11,C13)</f>
        <v>13059.7132824</v>
      </c>
      <c r="D14" s="168">
        <f t="shared" si="0"/>
        <v>2000.0992322874904</v>
      </c>
      <c r="E14" s="168">
        <f t="shared" si="0"/>
        <v>366.90162675300007</v>
      </c>
      <c r="F14" s="168">
        <f t="shared" si="0"/>
        <v>2933.9097062348233</v>
      </c>
      <c r="G14" s="168">
        <f t="shared" si="0"/>
        <v>3851.3213847447096</v>
      </c>
      <c r="H14" s="168">
        <f t="shared" si="0"/>
        <v>22886.122840861353</v>
      </c>
      <c r="I14" s="169">
        <f t="shared" si="0"/>
        <v>0</v>
      </c>
      <c r="J14" s="170">
        <f t="shared" si="0"/>
        <v>45098.068073281371</v>
      </c>
      <c r="L14" s="157"/>
    </row>
    <row r="15" spans="2:13" ht="15.6">
      <c r="B15" s="175"/>
      <c r="C15" s="176">
        <f>C14/$J$14</f>
        <v>0.2895847613955177</v>
      </c>
      <c r="D15" s="176">
        <f t="shared" ref="D15:I15" si="1">D14/$J$14</f>
        <v>4.4349998076136252E-2</v>
      </c>
      <c r="E15" s="176">
        <f t="shared" si="1"/>
        <v>8.1356395612514759E-3</v>
      </c>
      <c r="F15" s="176">
        <f t="shared" si="1"/>
        <v>6.505621707491803E-2</v>
      </c>
      <c r="G15" s="176">
        <f t="shared" si="1"/>
        <v>8.5398810842330711E-2</v>
      </c>
      <c r="H15" s="176">
        <f t="shared" si="1"/>
        <v>0.507474573049846</v>
      </c>
      <c r="I15" s="176">
        <f t="shared" si="1"/>
        <v>0</v>
      </c>
      <c r="J15" s="176"/>
      <c r="L15" s="157"/>
    </row>
    <row r="16" spans="2:13" ht="14.4" thickBot="1">
      <c r="C16" s="23" t="str">
        <f>C5</f>
        <v>Energia elektryczna</v>
      </c>
      <c r="D16" s="23" t="str">
        <f>D6</f>
        <v>Gaz ciekły</v>
      </c>
      <c r="E16" s="23" t="str">
        <f>E6</f>
        <v>Olej opałowy</v>
      </c>
      <c r="F16" s="23" t="str">
        <f>F6</f>
        <v>Olej napędowy</v>
      </c>
      <c r="G16" s="23" t="str">
        <f>G6</f>
        <v>Benzyna</v>
      </c>
      <c r="H16" s="23" t="str">
        <f>H6</f>
        <v>Węgiel</v>
      </c>
    </row>
    <row r="17" spans="2:10" ht="16.8" thickTop="1" thickBot="1">
      <c r="B17" s="855" t="s">
        <v>68</v>
      </c>
      <c r="C17" s="858" t="s">
        <v>279</v>
      </c>
      <c r="D17" s="858"/>
      <c r="E17" s="858"/>
      <c r="F17" s="858"/>
      <c r="G17" s="858"/>
      <c r="H17" s="858"/>
      <c r="I17" s="858"/>
      <c r="J17" s="859"/>
    </row>
    <row r="18" spans="2:10">
      <c r="B18" s="856"/>
      <c r="C18" s="860" t="s">
        <v>17</v>
      </c>
      <c r="D18" s="862" t="s">
        <v>69</v>
      </c>
      <c r="E18" s="863"/>
      <c r="F18" s="863"/>
      <c r="G18" s="863"/>
      <c r="H18" s="864"/>
      <c r="I18" s="865" t="s">
        <v>70</v>
      </c>
      <c r="J18" s="867" t="s">
        <v>71</v>
      </c>
    </row>
    <row r="19" spans="2:10" ht="14.4" thickBot="1">
      <c r="B19" s="857"/>
      <c r="C19" s="861"/>
      <c r="D19" s="145" t="s">
        <v>72</v>
      </c>
      <c r="E19" s="146" t="s">
        <v>2</v>
      </c>
      <c r="F19" s="145" t="s">
        <v>73</v>
      </c>
      <c r="G19" s="145" t="s">
        <v>32</v>
      </c>
      <c r="H19" s="147" t="s">
        <v>39</v>
      </c>
      <c r="I19" s="866"/>
      <c r="J19" s="868"/>
    </row>
    <row r="20" spans="2:10" ht="16.8" thickTop="1" thickBot="1">
      <c r="B20" s="148" t="s">
        <v>74</v>
      </c>
      <c r="C20" s="872"/>
      <c r="D20" s="873"/>
      <c r="E20" s="873"/>
      <c r="F20" s="873"/>
      <c r="G20" s="873"/>
      <c r="H20" s="873"/>
      <c r="I20" s="873"/>
      <c r="J20" s="177"/>
    </row>
    <row r="21" spans="2:10" ht="34.5" customHeight="1">
      <c r="B21" s="150" t="str">
        <f>B8</f>
        <v>Sektor mieszkaniowy</v>
      </c>
      <c r="C21" s="151">
        <f>'Sektor mieszkaniowy'!I70</f>
        <v>6112.4974421555471</v>
      </c>
      <c r="D21" s="152">
        <f>'Sektor mieszkaniowy'!I69</f>
        <v>1388.1651066855002</v>
      </c>
      <c r="E21" s="152">
        <f>'Sektor mieszkaniowy'!I71</f>
        <v>337.98043176300001</v>
      </c>
      <c r="F21" s="152">
        <v>0</v>
      </c>
      <c r="G21" s="152">
        <v>0</v>
      </c>
      <c r="H21" s="152">
        <f>'Sektor mieszkaniowy'!I68</f>
        <v>22475.247489440851</v>
      </c>
      <c r="I21" s="153" t="str">
        <f>'Sektor mieszkaniowy'!I72</f>
        <v>-</v>
      </c>
      <c r="J21" s="154">
        <f>SUM(C21:I21)</f>
        <v>30313.890470044898</v>
      </c>
    </row>
    <row r="22" spans="2:10" ht="34.5" customHeight="1">
      <c r="B22" s="172" t="str">
        <f>B9</f>
        <v>Sektor użyteczności publicznej</v>
      </c>
      <c r="C22" s="151">
        <f>'Sektor użyteczności publicznej'!J9</f>
        <v>1442.427995</v>
      </c>
      <c r="D22" s="152">
        <f>'Sektor użyteczności publicznej'!K9</f>
        <v>58.069045821600007</v>
      </c>
      <c r="E22" s="152">
        <f>E9</f>
        <v>0</v>
      </c>
      <c r="F22" s="152">
        <v>0</v>
      </c>
      <c r="G22" s="152">
        <v>0</v>
      </c>
      <c r="H22" s="152" t="str">
        <f>H9</f>
        <v>-</v>
      </c>
      <c r="I22" s="153" t="str">
        <f>I9</f>
        <v>-</v>
      </c>
      <c r="J22" s="156">
        <f>SUM(C22:I22)</f>
        <v>1500.4970408216</v>
      </c>
    </row>
    <row r="23" spans="2:10" ht="34.5" customHeight="1">
      <c r="B23" s="172" t="str">
        <f>B10</f>
        <v>Sektor handlu i usług</v>
      </c>
      <c r="C23" s="151">
        <f>'Sektor Handlu i Usług'!G24</f>
        <v>5214.2378134660312</v>
      </c>
      <c r="D23" s="152">
        <v>0</v>
      </c>
      <c r="E23" s="152">
        <f>'Sektor Handlu i Usług'!G26</f>
        <v>52.601417692509727</v>
      </c>
      <c r="F23" s="152">
        <v>0</v>
      </c>
      <c r="G23" s="152">
        <v>0</v>
      </c>
      <c r="H23" s="152">
        <f>'Sektor Handlu i Usług'!G25</f>
        <v>1979.3108941191213</v>
      </c>
      <c r="I23" s="153">
        <v>0</v>
      </c>
      <c r="J23" s="156">
        <f>SUM(C23:I23)</f>
        <v>7246.1501252776625</v>
      </c>
    </row>
    <row r="24" spans="2:10" ht="34.5" customHeight="1" thickBot="1">
      <c r="B24" s="158" t="s">
        <v>78</v>
      </c>
      <c r="C24" s="151">
        <f>'Sektor oświetlenia ulicznego'!H8</f>
        <v>337.29797500000001</v>
      </c>
      <c r="D24" s="152">
        <v>0</v>
      </c>
      <c r="E24" s="152">
        <v>0</v>
      </c>
      <c r="F24" s="152">
        <v>0</v>
      </c>
      <c r="G24" s="152">
        <v>0</v>
      </c>
      <c r="H24" s="152">
        <v>0</v>
      </c>
      <c r="I24" s="152">
        <v>0</v>
      </c>
      <c r="J24" s="159">
        <f>SUM(C24:I24)</f>
        <v>337.29797500000001</v>
      </c>
    </row>
    <row r="25" spans="2:10" ht="15.6">
      <c r="B25" s="160" t="s">
        <v>79</v>
      </c>
      <c r="C25" s="854"/>
      <c r="D25" s="854"/>
      <c r="E25" s="854"/>
      <c r="F25" s="854"/>
      <c r="G25" s="854"/>
      <c r="H25" s="854"/>
      <c r="I25" s="854"/>
      <c r="J25" s="161"/>
    </row>
    <row r="26" spans="2:10" ht="27.75" customHeight="1" thickBot="1">
      <c r="B26" s="162" t="str">
        <f>B13</f>
        <v>Sektor transportu</v>
      </c>
      <c r="C26" s="163">
        <v>0</v>
      </c>
      <c r="D26" s="164">
        <f>'Sektor transportu'!P72</f>
        <v>652.92843150768442</v>
      </c>
      <c r="E26" s="164">
        <v>0</v>
      </c>
      <c r="F26" s="164">
        <f>'Sektor transportu'!P71</f>
        <v>2946.0687841278918</v>
      </c>
      <c r="G26" s="164">
        <f>'Sektor transportu'!P70</f>
        <v>3868.4381528855406</v>
      </c>
      <c r="H26" s="164">
        <v>0</v>
      </c>
      <c r="I26" s="165">
        <v>0</v>
      </c>
      <c r="J26" s="159">
        <f>SUM(C26:I26)</f>
        <v>7467.4353685211172</v>
      </c>
    </row>
    <row r="27" spans="2:10" ht="16.2" thickBot="1">
      <c r="B27" s="174" t="s">
        <v>71</v>
      </c>
      <c r="C27" s="167">
        <f t="shared" ref="C27:J27" si="2">SUM(C21:C24,C26)</f>
        <v>13106.461225621579</v>
      </c>
      <c r="D27" s="168">
        <f t="shared" si="2"/>
        <v>2099.1625840147844</v>
      </c>
      <c r="E27" s="168">
        <f t="shared" si="2"/>
        <v>390.58184945550977</v>
      </c>
      <c r="F27" s="168">
        <f t="shared" si="2"/>
        <v>2946.0687841278918</v>
      </c>
      <c r="G27" s="168">
        <f t="shared" si="2"/>
        <v>3868.4381528855406</v>
      </c>
      <c r="H27" s="168">
        <f t="shared" si="2"/>
        <v>24454.558383559972</v>
      </c>
      <c r="I27" s="169">
        <f t="shared" si="2"/>
        <v>0</v>
      </c>
      <c r="J27" s="170">
        <f t="shared" si="2"/>
        <v>46865.270979665278</v>
      </c>
    </row>
  </sheetData>
  <mergeCells count="17">
    <mergeCell ref="C20:I20"/>
    <mergeCell ref="C25:I25"/>
    <mergeCell ref="C7:I7"/>
    <mergeCell ref="C12:I12"/>
    <mergeCell ref="B17:B19"/>
    <mergeCell ref="C17:J17"/>
    <mergeCell ref="C18:C19"/>
    <mergeCell ref="D18:H18"/>
    <mergeCell ref="I18:I19"/>
    <mergeCell ref="J18:J19"/>
    <mergeCell ref="B2:J2"/>
    <mergeCell ref="B4:B6"/>
    <mergeCell ref="C4:J4"/>
    <mergeCell ref="C5:C6"/>
    <mergeCell ref="D5:H5"/>
    <mergeCell ref="I5:I6"/>
    <mergeCell ref="J5:J6"/>
  </mergeCells>
  <pageMargins left="0.7" right="0.7" top="0.75" bottom="0.75" header="0.3" footer="0.3"/>
  <pageSetup paperSize="9"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showGridLines="0" view="pageBreakPreview" zoomScale="85" zoomScaleNormal="100" zoomScaleSheetLayoutView="85" workbookViewId="0">
      <selection activeCell="K13" sqref="K13"/>
    </sheetView>
  </sheetViews>
  <sheetFormatPr defaultColWidth="10" defaultRowHeight="14.4"/>
  <cols>
    <col min="1" max="1" width="2.77734375" style="27" customWidth="1"/>
    <col min="2" max="2" width="32.88671875" style="27" customWidth="1"/>
    <col min="3" max="4" width="16.33203125" style="27" customWidth="1"/>
    <col min="5" max="5" width="16.21875" style="27" customWidth="1"/>
    <col min="6" max="6" width="16.5546875" style="27" customWidth="1"/>
    <col min="7" max="7" width="2.77734375" style="27" customWidth="1"/>
    <col min="8" max="8" width="28.44140625" style="27" customWidth="1"/>
    <col min="9" max="9" width="14.88671875" style="27" customWidth="1"/>
    <col min="10" max="10" width="15.77734375" style="27" customWidth="1"/>
    <col min="11" max="12" width="13.88671875" style="27" customWidth="1"/>
    <col min="13" max="13" width="15" style="27" bestFit="1" customWidth="1"/>
    <col min="14" max="14" width="10" style="27" customWidth="1"/>
    <col min="15" max="15" width="12.88671875" style="27" customWidth="1"/>
    <col min="16" max="16" width="10" style="27" customWidth="1"/>
    <col min="17" max="19" width="12.88671875" style="27" customWidth="1"/>
    <col min="20" max="20" width="10" style="27" customWidth="1"/>
    <col min="21" max="16384" width="10" style="27"/>
  </cols>
  <sheetData>
    <row r="1" spans="2:12" s="26" customFormat="1" ht="15" customHeight="1" thickBot="1">
      <c r="I1" s="81"/>
      <c r="J1" s="81"/>
      <c r="K1" s="81"/>
      <c r="L1" s="81"/>
    </row>
    <row r="2" spans="2:12" s="26" customFormat="1" ht="18.600000000000001" thickBot="1">
      <c r="B2" s="28" t="s">
        <v>81</v>
      </c>
      <c r="C2" s="29"/>
      <c r="D2" s="29"/>
      <c r="E2" s="29"/>
      <c r="F2" s="29"/>
      <c r="G2" s="29"/>
      <c r="H2" s="29"/>
      <c r="I2" s="81"/>
      <c r="J2" s="81"/>
      <c r="K2" s="81"/>
      <c r="L2" s="81"/>
    </row>
    <row r="3" spans="2:12">
      <c r="H3" s="144"/>
      <c r="I3" s="482"/>
      <c r="J3" s="482"/>
      <c r="K3" s="184"/>
      <c r="L3" s="483"/>
    </row>
    <row r="4" spans="2:12">
      <c r="H4" s="144"/>
      <c r="I4" s="693"/>
      <c r="J4" s="484"/>
      <c r="K4" s="485"/>
      <c r="L4" s="485"/>
    </row>
    <row r="5" spans="2:12">
      <c r="F5" s="37"/>
      <c r="H5" s="144"/>
      <c r="I5" s="693"/>
      <c r="J5" s="185"/>
      <c r="K5" s="186"/>
      <c r="L5" s="186"/>
    </row>
    <row r="6" spans="2:12" ht="15" thickBot="1">
      <c r="F6" s="37"/>
      <c r="L6" s="178"/>
    </row>
    <row r="7" spans="2:12" ht="15" thickBot="1">
      <c r="B7" s="874" t="s">
        <v>82</v>
      </c>
      <c r="C7" s="875"/>
      <c r="D7" s="876"/>
      <c r="E7" s="178"/>
      <c r="F7" s="187"/>
      <c r="L7" s="178"/>
    </row>
    <row r="8" spans="2:12" ht="33" customHeight="1">
      <c r="B8" s="188"/>
      <c r="C8" s="189">
        <v>2014</v>
      </c>
      <c r="D8" s="496">
        <v>2020</v>
      </c>
      <c r="E8" s="190">
        <v>2023</v>
      </c>
      <c r="F8" s="179"/>
    </row>
    <row r="9" spans="2:12" ht="28.2" customHeight="1">
      <c r="B9" s="181" t="s">
        <v>83</v>
      </c>
      <c r="C9" s="182">
        <f>'Emisja CO2 - sektory SEAP'!J14</f>
        <v>45098.068073281371</v>
      </c>
      <c r="D9" s="497">
        <f>'Sektor mieszkaniowy'!I73+'Sektor transportu'!Q46+'Sektor Handlu i Usług'!G18+'Sektor oświetlenia ulicznego'!H8+'Sektor użyteczności publicznej'!J9+'Sektor użyteczności publicznej'!K9</f>
        <v>46847.888720142364</v>
      </c>
      <c r="E9" s="183">
        <f>'Emisja CO2 - sektory SEAP'!J27</f>
        <v>46865.270979665278</v>
      </c>
      <c r="F9" s="180"/>
    </row>
    <row r="10" spans="2:12" ht="28.2" customHeight="1">
      <c r="B10" s="500" t="s">
        <v>290</v>
      </c>
      <c r="C10" s="182">
        <f>'Zużycie energii -sektory SEAP'!J14</f>
        <v>126811.46352612098</v>
      </c>
      <c r="D10" s="505">
        <f>'Sektor mieszkaniowy'!G64+'Sektor transportu'!N46+'Sektor Handlu i Usług'!D18+'Sektor oświetlenia ulicznego'!F8+'Sektor użyteczności publicznej'!D9+'Sektor użyteczności publicznej'!H9</f>
        <v>130165.55446559819</v>
      </c>
      <c r="E10" s="501">
        <f>'Zużycie energii -sektory SEAP'!J26</f>
        <v>132633.4903763996</v>
      </c>
      <c r="F10" s="180"/>
    </row>
    <row r="11" spans="2:12" ht="22.8" customHeight="1">
      <c r="B11" s="181" t="s">
        <v>3</v>
      </c>
      <c r="C11" s="191">
        <f>'Informacje ogolne'!H6</f>
        <v>10346</v>
      </c>
      <c r="D11" s="498">
        <f>'Informacje ogolne'!T6</f>
        <v>10294</v>
      </c>
      <c r="E11" s="192">
        <f>'Informacje ogolne'!U6</f>
        <v>10281</v>
      </c>
      <c r="F11" s="193"/>
    </row>
    <row r="12" spans="2:12" ht="30">
      <c r="B12" s="181" t="s">
        <v>84</v>
      </c>
      <c r="C12" s="182">
        <f>C9/C11</f>
        <v>4.3589858953490594</v>
      </c>
      <c r="D12" s="497">
        <f>D9/D11</f>
        <v>4.5509897726969459</v>
      </c>
      <c r="E12" s="183">
        <f>E9/E11</f>
        <v>4.5584350724312106</v>
      </c>
      <c r="F12" s="180"/>
    </row>
    <row r="13" spans="2:12" ht="30.6" thickBot="1">
      <c r="B13" s="194" t="s">
        <v>85</v>
      </c>
      <c r="C13" s="195">
        <f>C9/C11/365*1000</f>
        <v>11.942427110545369</v>
      </c>
      <c r="D13" s="499">
        <f>D9/D11/365*1000</f>
        <v>12.468465130676565</v>
      </c>
      <c r="E13" s="196">
        <f>E9/E11/365*1000</f>
        <v>12.488863212140304</v>
      </c>
      <c r="F13" s="180"/>
    </row>
  </sheetData>
  <mergeCells count="1">
    <mergeCell ref="B7:D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2" manualBreakCount="2">
    <brk id="13" max="10" man="1"/>
    <brk id="47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showGridLines="0" view="pageBreakPreview" topLeftCell="G1" zoomScale="75" zoomScaleNormal="100" zoomScaleSheetLayoutView="75" workbookViewId="0">
      <selection activeCell="I29" sqref="I29"/>
    </sheetView>
  </sheetViews>
  <sheetFormatPr defaultRowHeight="13.8"/>
  <cols>
    <col min="1" max="1" width="8.88671875" style="23"/>
    <col min="2" max="2" width="6.21875" style="23" customWidth="1"/>
    <col min="3" max="3" width="44.109375" style="23" customWidth="1"/>
    <col min="4" max="4" width="13.77734375" style="23" customWidth="1"/>
    <col min="5" max="5" width="20.21875" style="23" customWidth="1"/>
    <col min="6" max="6" width="17.21875" style="23" customWidth="1"/>
    <col min="7" max="7" width="19.21875" style="23" customWidth="1"/>
    <col min="8" max="8" width="17.5546875" style="23" customWidth="1"/>
    <col min="9" max="9" width="24.109375" style="23" customWidth="1"/>
    <col min="10" max="10" width="23.6640625" style="23" customWidth="1"/>
    <col min="11" max="11" width="13.109375" style="23" customWidth="1"/>
    <col min="12" max="12" width="13.44140625" style="23" customWidth="1"/>
    <col min="13" max="16384" width="8.88671875" style="23"/>
  </cols>
  <sheetData>
    <row r="1" spans="2:12" ht="14.4" thickBot="1"/>
    <row r="2" spans="2:12" ht="23.4" customHeight="1" thickBot="1">
      <c r="B2" s="896" t="s">
        <v>166</v>
      </c>
      <c r="C2" s="897"/>
      <c r="D2" s="897"/>
      <c r="E2" s="897"/>
      <c r="F2" s="897"/>
      <c r="G2" s="897"/>
      <c r="H2" s="897"/>
      <c r="I2" s="897"/>
      <c r="J2" s="897"/>
    </row>
    <row r="3" spans="2:12" ht="14.4" thickBot="1"/>
    <row r="4" spans="2:12" ht="14.4">
      <c r="B4" s="884" t="s">
        <v>86</v>
      </c>
      <c r="C4" s="885"/>
      <c r="D4" s="885"/>
      <c r="E4" s="885"/>
      <c r="F4" s="885"/>
      <c r="G4" s="885"/>
      <c r="H4" s="885"/>
      <c r="I4" s="885"/>
      <c r="J4" s="885"/>
      <c r="K4" s="885"/>
      <c r="L4" s="886"/>
    </row>
    <row r="5" spans="2:12">
      <c r="B5" s="898" t="s">
        <v>87</v>
      </c>
      <c r="C5" s="900" t="s">
        <v>88</v>
      </c>
      <c r="D5" s="900" t="s">
        <v>89</v>
      </c>
      <c r="E5" s="900" t="s">
        <v>90</v>
      </c>
      <c r="F5" s="900"/>
      <c r="G5" s="900" t="s">
        <v>91</v>
      </c>
      <c r="H5" s="881" t="s">
        <v>92</v>
      </c>
      <c r="I5" s="882"/>
      <c r="J5" s="882"/>
      <c r="K5" s="882"/>
      <c r="L5" s="883"/>
    </row>
    <row r="6" spans="2:12" ht="30.6" customHeight="1" thickBot="1">
      <c r="B6" s="899"/>
      <c r="C6" s="901"/>
      <c r="D6" s="901"/>
      <c r="E6" s="657" t="s">
        <v>93</v>
      </c>
      <c r="F6" s="657" t="s">
        <v>94</v>
      </c>
      <c r="G6" s="901"/>
      <c r="H6" s="657" t="s">
        <v>95</v>
      </c>
      <c r="I6" s="657" t="s">
        <v>96</v>
      </c>
      <c r="J6" s="658" t="s">
        <v>97</v>
      </c>
      <c r="K6" s="659" t="s">
        <v>642</v>
      </c>
      <c r="L6" s="660" t="s">
        <v>643</v>
      </c>
    </row>
    <row r="7" spans="2:12" ht="39" customHeight="1">
      <c r="B7" s="653">
        <v>1</v>
      </c>
      <c r="C7" s="537" t="s">
        <v>98</v>
      </c>
      <c r="D7" s="895" t="s">
        <v>99</v>
      </c>
      <c r="E7" s="541">
        <v>2018</v>
      </c>
      <c r="F7" s="541">
        <v>2023</v>
      </c>
      <c r="G7" s="654" t="s">
        <v>19</v>
      </c>
      <c r="H7" s="655" t="s">
        <v>19</v>
      </c>
      <c r="I7" s="654" t="s">
        <v>19</v>
      </c>
      <c r="J7" s="656" t="s">
        <v>19</v>
      </c>
      <c r="K7" s="661" t="s">
        <v>19</v>
      </c>
      <c r="L7" s="661" t="s">
        <v>19</v>
      </c>
    </row>
    <row r="8" spans="2:12" ht="41.25" customHeight="1">
      <c r="B8" s="197">
        <v>2</v>
      </c>
      <c r="C8" s="198" t="s">
        <v>100</v>
      </c>
      <c r="D8" s="902"/>
      <c r="E8" s="199">
        <f t="shared" ref="E8:F13" si="0">E7</f>
        <v>2018</v>
      </c>
      <c r="F8" s="199">
        <f t="shared" si="0"/>
        <v>2023</v>
      </c>
      <c r="G8" s="200" t="s">
        <v>19</v>
      </c>
      <c r="H8" s="201" t="s">
        <v>19</v>
      </c>
      <c r="I8" s="200" t="s">
        <v>19</v>
      </c>
      <c r="J8" s="538" t="s">
        <v>19</v>
      </c>
      <c r="K8" s="662" t="s">
        <v>19</v>
      </c>
      <c r="L8" s="662" t="s">
        <v>19</v>
      </c>
    </row>
    <row r="9" spans="2:12" ht="62.25" customHeight="1">
      <c r="B9" s="197">
        <v>3</v>
      </c>
      <c r="C9" s="202" t="s">
        <v>101</v>
      </c>
      <c r="D9" s="902"/>
      <c r="E9" s="199">
        <f t="shared" si="0"/>
        <v>2018</v>
      </c>
      <c r="F9" s="199">
        <f t="shared" si="0"/>
        <v>2023</v>
      </c>
      <c r="G9" s="203">
        <v>20000</v>
      </c>
      <c r="H9" s="201" t="s">
        <v>19</v>
      </c>
      <c r="I9" s="200" t="s">
        <v>19</v>
      </c>
      <c r="J9" s="538" t="s">
        <v>19</v>
      </c>
      <c r="K9" s="662" t="s">
        <v>19</v>
      </c>
      <c r="L9" s="662" t="s">
        <v>19</v>
      </c>
    </row>
    <row r="10" spans="2:12" ht="48" customHeight="1">
      <c r="B10" s="197">
        <v>4</v>
      </c>
      <c r="C10" s="202" t="s">
        <v>102</v>
      </c>
      <c r="D10" s="447" t="s">
        <v>103</v>
      </c>
      <c r="E10" s="199">
        <f t="shared" si="0"/>
        <v>2018</v>
      </c>
      <c r="F10" s="199">
        <f t="shared" si="0"/>
        <v>2023</v>
      </c>
      <c r="G10" s="203">
        <v>30000</v>
      </c>
      <c r="H10" s="204" t="s">
        <v>19</v>
      </c>
      <c r="I10" s="205" t="s">
        <v>19</v>
      </c>
      <c r="J10" s="538" t="s">
        <v>19</v>
      </c>
      <c r="K10" s="662" t="s">
        <v>19</v>
      </c>
      <c r="L10" s="662" t="s">
        <v>19</v>
      </c>
    </row>
    <row r="11" spans="2:12" ht="48" customHeight="1">
      <c r="B11" s="277">
        <v>5</v>
      </c>
      <c r="C11" s="202" t="s">
        <v>640</v>
      </c>
      <c r="D11" s="540"/>
      <c r="E11" s="542">
        <v>2018</v>
      </c>
      <c r="F11" s="542">
        <v>2023</v>
      </c>
      <c r="G11" s="203">
        <v>2500000</v>
      </c>
      <c r="H11" s="204">
        <v>295.91000000000003</v>
      </c>
      <c r="I11" s="205">
        <v>74.349999999999994</v>
      </c>
      <c r="J11" s="538" t="s">
        <v>19</v>
      </c>
      <c r="K11" s="662" t="s">
        <v>19</v>
      </c>
      <c r="L11" s="662" t="s">
        <v>19</v>
      </c>
    </row>
    <row r="12" spans="2:12" ht="48" customHeight="1">
      <c r="B12" s="277">
        <v>6</v>
      </c>
      <c r="C12" s="202" t="s">
        <v>193</v>
      </c>
      <c r="D12" s="542" t="s">
        <v>78</v>
      </c>
      <c r="E12" s="640">
        <f>E10</f>
        <v>2018</v>
      </c>
      <c r="F12" s="640">
        <f>F10</f>
        <v>2023</v>
      </c>
      <c r="G12" s="641">
        <f>Metodyka!D17</f>
        <v>300000</v>
      </c>
      <c r="H12" s="642">
        <f>Metodyka!D14</f>
        <v>27.929811391999976</v>
      </c>
      <c r="I12" s="642">
        <f>Metodyka!D16</f>
        <v>23.223638172447981</v>
      </c>
      <c r="J12" s="538" t="s">
        <v>19</v>
      </c>
      <c r="K12" s="662" t="s">
        <v>19</v>
      </c>
      <c r="L12" s="662" t="s">
        <v>19</v>
      </c>
    </row>
    <row r="13" spans="2:12" ht="44.4" customHeight="1">
      <c r="B13" s="197">
        <v>7</v>
      </c>
      <c r="C13" s="198" t="s">
        <v>273</v>
      </c>
      <c r="D13" s="692" t="s">
        <v>104</v>
      </c>
      <c r="E13" s="199">
        <f t="shared" si="0"/>
        <v>2018</v>
      </c>
      <c r="F13" s="199">
        <f t="shared" si="0"/>
        <v>2023</v>
      </c>
      <c r="G13" s="206">
        <f>Metodyka!J15</f>
        <v>560000</v>
      </c>
      <c r="H13" s="207">
        <f>Metodyka!J12</f>
        <v>80</v>
      </c>
      <c r="I13" s="208">
        <f>Metodyka!J13</f>
        <v>66.56</v>
      </c>
      <c r="J13" s="647">
        <f>H13</f>
        <v>80</v>
      </c>
      <c r="K13" s="662" t="s">
        <v>19</v>
      </c>
      <c r="L13" s="662" t="s">
        <v>19</v>
      </c>
    </row>
    <row r="14" spans="2:12" ht="47.4" customHeight="1">
      <c r="B14" s="892">
        <v>9</v>
      </c>
      <c r="C14" s="887" t="str">
        <f>[4]Metodyka!I20</f>
        <v>Montaż instalacji OZE na obiektach handlowo - usługowych</v>
      </c>
      <c r="D14" s="893" t="s">
        <v>105</v>
      </c>
      <c r="E14" s="250" t="e">
        <f>#REF!</f>
        <v>#REF!</v>
      </c>
      <c r="F14" s="199" t="e">
        <f>#REF!</f>
        <v>#REF!</v>
      </c>
      <c r="G14" s="877">
        <v>700000</v>
      </c>
      <c r="H14" s="207">
        <f>Metodyka!J31</f>
        <v>120</v>
      </c>
      <c r="I14" s="209">
        <f>Metodyka!J32</f>
        <v>99.84</v>
      </c>
      <c r="J14" s="648">
        <f>H14</f>
        <v>120</v>
      </c>
      <c r="K14" s="662" t="s">
        <v>19</v>
      </c>
      <c r="L14" s="662" t="s">
        <v>19</v>
      </c>
    </row>
    <row r="15" spans="2:12" ht="47.4" customHeight="1">
      <c r="B15" s="892"/>
      <c r="C15" s="888"/>
      <c r="D15" s="895"/>
      <c r="E15" s="889" t="str">
        <f>E21</f>
        <v>do 2020 roku</v>
      </c>
      <c r="F15" s="890"/>
      <c r="G15" s="891"/>
      <c r="H15" s="643">
        <f>Metodyka!J29</f>
        <v>40</v>
      </c>
      <c r="I15" s="644">
        <f>Metodyka!J30</f>
        <v>33.28</v>
      </c>
      <c r="J15" s="649">
        <f>H15</f>
        <v>40</v>
      </c>
      <c r="K15" s="662" t="s">
        <v>19</v>
      </c>
      <c r="L15" s="662" t="s">
        <v>19</v>
      </c>
    </row>
    <row r="16" spans="2:12" ht="47.4" customHeight="1">
      <c r="B16" s="887">
        <v>10</v>
      </c>
      <c r="C16" s="887" t="s">
        <v>641</v>
      </c>
      <c r="D16" s="893" t="s">
        <v>106</v>
      </c>
      <c r="E16" s="542" t="e">
        <f>#REF!</f>
        <v>#REF!</v>
      </c>
      <c r="F16" s="539" t="e">
        <f>#REF!</f>
        <v>#REF!</v>
      </c>
      <c r="G16" s="877">
        <f>Metodyka!D100</f>
        <v>1080000</v>
      </c>
      <c r="H16" s="643">
        <f>Metodyka!D98</f>
        <v>1407.0588235294115</v>
      </c>
      <c r="I16" s="644">
        <f>Metodyka!D95</f>
        <v>444.48988235294109</v>
      </c>
      <c r="J16" s="649" t="s">
        <v>19</v>
      </c>
      <c r="K16" s="691">
        <f>Metodyka!D96</f>
        <v>8.4373677317647058</v>
      </c>
      <c r="L16" s="691">
        <f>Metodyka!D97</f>
        <v>8.3121507529411769</v>
      </c>
    </row>
    <row r="17" spans="2:12" ht="47.4" customHeight="1">
      <c r="B17" s="888"/>
      <c r="C17" s="888"/>
      <c r="D17" s="894"/>
      <c r="E17" s="889" t="str">
        <f>E15</f>
        <v>do 2020 roku</v>
      </c>
      <c r="F17" s="890"/>
      <c r="G17" s="891"/>
      <c r="H17" s="643">
        <f>Metodyka!D104</f>
        <v>703.52941176470574</v>
      </c>
      <c r="I17" s="644">
        <f>Metodyka!D101</f>
        <v>222.24494117647055</v>
      </c>
      <c r="J17" s="649" t="s">
        <v>19</v>
      </c>
      <c r="K17" s="691">
        <f>Metodyka!D102</f>
        <v>4.2186838658823529</v>
      </c>
      <c r="L17" s="691">
        <f>Metodyka!D103</f>
        <v>4.1560753764705884</v>
      </c>
    </row>
    <row r="18" spans="2:12" ht="47.4" customHeight="1">
      <c r="B18" s="887">
        <v>11</v>
      </c>
      <c r="C18" s="887" t="s">
        <v>651</v>
      </c>
      <c r="D18" s="894"/>
      <c r="E18" s="542" t="e">
        <f>E16</f>
        <v>#REF!</v>
      </c>
      <c r="F18" s="539" t="e">
        <f>F16</f>
        <v>#REF!</v>
      </c>
      <c r="G18" s="877">
        <f>Metodyka!D50</f>
        <v>630000</v>
      </c>
      <c r="H18" s="643">
        <f>Metodyka!D37</f>
        <v>3724.7233670520241</v>
      </c>
      <c r="I18" s="644">
        <f>Metodyka!D36</f>
        <v>1288.7542850000002</v>
      </c>
      <c r="J18" s="649" t="s">
        <v>19</v>
      </c>
      <c r="K18" s="201">
        <f>Metodyka!D46</f>
        <v>3.2977308000000001</v>
      </c>
      <c r="L18" s="201">
        <f>Metodyka!D47</f>
        <v>3.2487545999999998</v>
      </c>
    </row>
    <row r="19" spans="2:12" ht="47.4" customHeight="1">
      <c r="B19" s="888"/>
      <c r="C19" s="888"/>
      <c r="D19" s="894"/>
      <c r="E19" s="889" t="str">
        <f>E17</f>
        <v>do 2020 roku</v>
      </c>
      <c r="F19" s="890"/>
      <c r="G19" s="891"/>
      <c r="H19" s="643">
        <f>Metodyka!D41</f>
        <v>1862.361683526012</v>
      </c>
      <c r="I19" s="644">
        <f>Metodyka!D40</f>
        <v>644.3771425000001</v>
      </c>
      <c r="J19" s="649" t="s">
        <v>19</v>
      </c>
      <c r="K19" s="201">
        <f>Metodyka!D48</f>
        <v>1.6488654</v>
      </c>
      <c r="L19" s="201">
        <f>Metodyka!D49</f>
        <v>1.6243772999999999</v>
      </c>
    </row>
    <row r="20" spans="2:12" ht="43.2" customHeight="1">
      <c r="B20" s="892">
        <v>12</v>
      </c>
      <c r="C20" s="887" t="str">
        <f>Metodyka!I70</f>
        <v>Wymiana węglowych kotłów węglowych na kotły gazowe</v>
      </c>
      <c r="D20" s="894"/>
      <c r="E20" s="250">
        <v>2018</v>
      </c>
      <c r="F20" s="199" t="e">
        <f>F16</f>
        <v>#REF!</v>
      </c>
      <c r="G20" s="877">
        <f>Metodyka!J95</f>
        <v>3330000</v>
      </c>
      <c r="H20" s="643">
        <f>Metodyka!J85</f>
        <v>14713.872647929204</v>
      </c>
      <c r="I20" s="644">
        <f>Metodyka!J84</f>
        <v>4087.1868466470009</v>
      </c>
      <c r="J20" s="649" t="s">
        <v>19</v>
      </c>
      <c r="K20" s="691">
        <f>Metodyka!J88</f>
        <v>22.693579999999997</v>
      </c>
      <c r="L20" s="691">
        <f>Metodyka!J89</f>
        <v>22.352070000000001</v>
      </c>
    </row>
    <row r="21" spans="2:12" ht="43.2" customHeight="1">
      <c r="B21" s="892"/>
      <c r="C21" s="888"/>
      <c r="D21" s="894"/>
      <c r="E21" s="889" t="s">
        <v>293</v>
      </c>
      <c r="F21" s="890"/>
      <c r="G21" s="891"/>
      <c r="H21" s="643">
        <f>Metodyka!J93</f>
        <v>7356.9363239646018</v>
      </c>
      <c r="I21" s="644">
        <f>Metodyka!J90</f>
        <v>2043.5934233235005</v>
      </c>
      <c r="J21" s="649" t="s">
        <v>19</v>
      </c>
      <c r="K21" s="691">
        <f>Metodyka!J91</f>
        <v>11.346789999999999</v>
      </c>
      <c r="L21" s="691">
        <f>Metodyka!J92</f>
        <v>11.176035000000001</v>
      </c>
    </row>
    <row r="22" spans="2:12" ht="49.2" customHeight="1">
      <c r="B22" s="892">
        <v>13</v>
      </c>
      <c r="C22" s="887" t="str">
        <f>[4]Metodyka!I34</f>
        <v>Kompleksowa termomodernizacja budynków (zwiększenie efektywności energetycznej budynków)</v>
      </c>
      <c r="D22" s="894"/>
      <c r="E22" s="250">
        <v>2018</v>
      </c>
      <c r="F22" s="199">
        <v>2023</v>
      </c>
      <c r="G22" s="877" t="e">
        <f>Metodyka!#REF!</f>
        <v>#REF!</v>
      </c>
      <c r="H22" s="207">
        <f>Metodyka!J51</f>
        <v>0</v>
      </c>
      <c r="I22" s="209" t="e">
        <f>Metodyka!#REF!</f>
        <v>#REF!</v>
      </c>
      <c r="J22" s="538" t="s">
        <v>19</v>
      </c>
      <c r="K22" s="662" t="s">
        <v>19</v>
      </c>
      <c r="L22" s="662" t="s">
        <v>19</v>
      </c>
    </row>
    <row r="23" spans="2:12" ht="49.2" customHeight="1">
      <c r="B23" s="892"/>
      <c r="C23" s="888"/>
      <c r="D23" s="894"/>
      <c r="E23" s="889" t="str">
        <f>E21</f>
        <v>do 2020 roku</v>
      </c>
      <c r="F23" s="890"/>
      <c r="G23" s="891"/>
      <c r="H23" s="645">
        <f>Metodyka!J46</f>
        <v>0</v>
      </c>
      <c r="I23" s="646">
        <f>Metodyka!J47</f>
        <v>0</v>
      </c>
      <c r="J23" s="650" t="s">
        <v>19</v>
      </c>
      <c r="K23" s="662" t="s">
        <v>19</v>
      </c>
      <c r="L23" s="662" t="s">
        <v>19</v>
      </c>
    </row>
    <row r="24" spans="2:12" ht="49.2" customHeight="1">
      <c r="B24" s="892">
        <v>14</v>
      </c>
      <c r="C24" s="887" t="str">
        <f>[4]Metodyka!B54</f>
        <v>Montaż instalacji fotowoltaicznych na/w budynkach mieszkalnych</v>
      </c>
      <c r="D24" s="894"/>
      <c r="E24" s="250">
        <v>2018</v>
      </c>
      <c r="F24" s="210">
        <v>2023</v>
      </c>
      <c r="G24" s="877">
        <f>Metodyka!D66</f>
        <v>1600000</v>
      </c>
      <c r="H24" s="211">
        <f>Metodyka!D63</f>
        <v>200</v>
      </c>
      <c r="I24" s="212">
        <f>Metodyka!D64</f>
        <v>166.4</v>
      </c>
      <c r="J24" s="651">
        <f>H24</f>
        <v>200</v>
      </c>
      <c r="K24" s="662" t="s">
        <v>19</v>
      </c>
      <c r="L24" s="662" t="s">
        <v>19</v>
      </c>
    </row>
    <row r="25" spans="2:12" ht="49.2" customHeight="1">
      <c r="B25" s="892"/>
      <c r="C25" s="888"/>
      <c r="D25" s="894"/>
      <c r="E25" s="889" t="str">
        <f>E23</f>
        <v>do 2020 roku</v>
      </c>
      <c r="F25" s="890"/>
      <c r="G25" s="891"/>
      <c r="H25" s="645">
        <f>Metodyka!D61</f>
        <v>100</v>
      </c>
      <c r="I25" s="646">
        <f>Metodyka!D62</f>
        <v>83.2</v>
      </c>
      <c r="J25" s="652">
        <f>H25</f>
        <v>100</v>
      </c>
      <c r="K25" s="662" t="s">
        <v>19</v>
      </c>
      <c r="L25" s="662" t="s">
        <v>19</v>
      </c>
    </row>
    <row r="26" spans="2:12" ht="37.200000000000003" customHeight="1">
      <c r="B26" s="892">
        <v>15</v>
      </c>
      <c r="C26" s="887" t="str">
        <f>[4]Metodyka!H54</f>
        <v>Montaż kolektorów słonecznych na budynkach mieszkalnych</v>
      </c>
      <c r="D26" s="894"/>
      <c r="E26" s="481">
        <v>2018</v>
      </c>
      <c r="F26" s="481">
        <v>2023</v>
      </c>
      <c r="G26" s="877">
        <f>Metodyka!J67</f>
        <v>2100000</v>
      </c>
      <c r="H26" s="211">
        <f>Metodyka!J63</f>
        <v>701.25</v>
      </c>
      <c r="I26" s="212">
        <f>Metodyka!J65</f>
        <v>66.429412500000012</v>
      </c>
      <c r="J26" s="651">
        <f>H26</f>
        <v>701.25</v>
      </c>
      <c r="K26" s="662" t="s">
        <v>19</v>
      </c>
      <c r="L26" s="662" t="s">
        <v>19</v>
      </c>
    </row>
    <row r="27" spans="2:12" ht="37.200000000000003" customHeight="1" thickBot="1">
      <c r="B27" s="892"/>
      <c r="C27" s="888"/>
      <c r="D27" s="895"/>
      <c r="E27" s="889" t="str">
        <f>E25</f>
        <v>do 2020 roku</v>
      </c>
      <c r="F27" s="890"/>
      <c r="G27" s="878"/>
      <c r="H27" s="645">
        <f>Metodyka!J61</f>
        <v>327.25</v>
      </c>
      <c r="I27" s="646">
        <f>Metodyka!J62</f>
        <v>31.000392500000004</v>
      </c>
      <c r="J27" s="652">
        <f>H27</f>
        <v>327.25</v>
      </c>
      <c r="K27" s="663" t="s">
        <v>19</v>
      </c>
      <c r="L27" s="663" t="s">
        <v>19</v>
      </c>
    </row>
    <row r="28" spans="2:12" ht="14.4" thickBot="1">
      <c r="C28" s="213" t="s">
        <v>291</v>
      </c>
      <c r="G28" s="879" t="e">
        <f>SUM(G9:G27)</f>
        <v>#REF!</v>
      </c>
      <c r="H28" s="664">
        <f>H26+H24+H22+H20+H14+H13+H12+H16+H18</f>
        <v>20974.834649902641</v>
      </c>
      <c r="I28" s="665" t="e">
        <f>I26+I24+I22+I20+I14+I13+I12+I16+I18</f>
        <v>#REF!</v>
      </c>
      <c r="J28" s="666">
        <f>J26+J24+J13+J14</f>
        <v>1101.25</v>
      </c>
      <c r="K28" s="667">
        <f>K16+K20+K18</f>
        <v>34.428678531764703</v>
      </c>
      <c r="L28" s="668">
        <f>L16+L20+L18</f>
        <v>33.912975352941174</v>
      </c>
    </row>
    <row r="29" spans="2:12" ht="15" customHeight="1" thickBot="1">
      <c r="C29" s="506" t="s">
        <v>292</v>
      </c>
      <c r="G29" s="880"/>
      <c r="H29" s="669">
        <f>H27+H25+H23+H21+H15+H17+H19</f>
        <v>10390.07741925532</v>
      </c>
      <c r="I29" s="670">
        <f>I27+I25+I23+I21+I15+I17+I19</f>
        <v>3057.6958994999713</v>
      </c>
      <c r="J29" s="671">
        <f>J27+J25+J15</f>
        <v>467.25</v>
      </c>
      <c r="K29" s="672">
        <f>K17+K21+K19</f>
        <v>17.214339265882352</v>
      </c>
      <c r="L29" s="673">
        <f>L17+L21+L19</f>
        <v>16.956487676470587</v>
      </c>
    </row>
  </sheetData>
  <mergeCells count="40">
    <mergeCell ref="D7:D9"/>
    <mergeCell ref="C14:C15"/>
    <mergeCell ref="B14:B15"/>
    <mergeCell ref="E15:F15"/>
    <mergeCell ref="C20:C21"/>
    <mergeCell ref="B20:B21"/>
    <mergeCell ref="E21:F21"/>
    <mergeCell ref="B16:B17"/>
    <mergeCell ref="C16:C17"/>
    <mergeCell ref="D14:D15"/>
    <mergeCell ref="B2:J2"/>
    <mergeCell ref="B5:B6"/>
    <mergeCell ref="C5:C6"/>
    <mergeCell ref="D5:D6"/>
    <mergeCell ref="E5:F5"/>
    <mergeCell ref="G5:G6"/>
    <mergeCell ref="E27:F27"/>
    <mergeCell ref="E23:F23"/>
    <mergeCell ref="C26:C27"/>
    <mergeCell ref="B26:B27"/>
    <mergeCell ref="C24:C25"/>
    <mergeCell ref="B24:B25"/>
    <mergeCell ref="D16:D27"/>
    <mergeCell ref="E17:F17"/>
    <mergeCell ref="G26:G27"/>
    <mergeCell ref="G28:G29"/>
    <mergeCell ref="H5:L5"/>
    <mergeCell ref="B4:L4"/>
    <mergeCell ref="B18:B19"/>
    <mergeCell ref="C18:C19"/>
    <mergeCell ref="E19:F19"/>
    <mergeCell ref="G18:G19"/>
    <mergeCell ref="G14:G15"/>
    <mergeCell ref="G16:G17"/>
    <mergeCell ref="G20:G21"/>
    <mergeCell ref="G22:G23"/>
    <mergeCell ref="G24:G25"/>
    <mergeCell ref="B22:B23"/>
    <mergeCell ref="C22:C23"/>
    <mergeCell ref="E25:F25"/>
  </mergeCells>
  <pageMargins left="0.7" right="0.7" top="0.75" bottom="0.75" header="0.3" footer="0.3"/>
  <pageSetup paperSize="9" scale="3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tabSelected="1" view="pageBreakPreview" topLeftCell="A82" zoomScale="69" zoomScaleNormal="86" zoomScaleSheetLayoutView="69" workbookViewId="0">
      <selection activeCell="I47" sqref="I47"/>
    </sheetView>
  </sheetViews>
  <sheetFormatPr defaultColWidth="10" defaultRowHeight="14.4"/>
  <cols>
    <col min="1" max="1" width="2.77734375" style="42" customWidth="1"/>
    <col min="2" max="2" width="4.21875" style="42" customWidth="1"/>
    <col min="3" max="3" width="71.88671875" style="42" customWidth="1"/>
    <col min="4" max="4" width="18" style="42" customWidth="1"/>
    <col min="5" max="5" width="12.44140625" style="42" customWidth="1"/>
    <col min="6" max="6" width="17.6640625" style="42" bestFit="1" customWidth="1"/>
    <col min="7" max="7" width="2.77734375" style="42" customWidth="1"/>
    <col min="8" max="8" width="3" style="42" bestFit="1" customWidth="1"/>
    <col min="9" max="9" width="58.6640625" style="42" customWidth="1"/>
    <col min="10" max="10" width="14.6640625" style="42" bestFit="1" customWidth="1"/>
    <col min="11" max="11" width="11.77734375" style="42" bestFit="1" customWidth="1"/>
    <col min="12" max="12" width="17.77734375" style="42" customWidth="1"/>
    <col min="13" max="16384" width="10" style="42"/>
  </cols>
  <sheetData>
    <row r="1" spans="2:12" ht="15" thickBot="1"/>
    <row r="2" spans="2:12" s="214" customFormat="1" ht="18.600000000000001" thickBot="1">
      <c r="B2" s="908" t="s">
        <v>107</v>
      </c>
      <c r="C2" s="909"/>
      <c r="D2" s="909"/>
      <c r="E2" s="909"/>
      <c r="F2" s="909"/>
      <c r="G2" s="909"/>
      <c r="H2" s="909"/>
      <c r="I2" s="909"/>
      <c r="J2" s="909"/>
      <c r="K2" s="909"/>
      <c r="L2" s="910"/>
    </row>
    <row r="4" spans="2:12" ht="15" thickBot="1">
      <c r="B4" s="215"/>
      <c r="C4" s="911"/>
      <c r="D4" s="911"/>
      <c r="E4" s="911"/>
      <c r="F4" s="911"/>
      <c r="H4" s="216"/>
      <c r="I4" s="184"/>
      <c r="J4" s="216"/>
      <c r="K4" s="216"/>
      <c r="L4" s="216"/>
    </row>
    <row r="5" spans="2:12" s="217" customFormat="1" ht="15" thickBot="1">
      <c r="B5" s="184"/>
      <c r="C5" s="913" t="s">
        <v>193</v>
      </c>
      <c r="D5" s="914"/>
      <c r="E5" s="914"/>
      <c r="F5" s="915"/>
      <c r="H5" s="218"/>
      <c r="I5" s="906" t="s">
        <v>546</v>
      </c>
      <c r="J5" s="906"/>
      <c r="K5" s="906"/>
      <c r="L5" s="907"/>
    </row>
    <row r="6" spans="2:12" ht="15" thickBot="1">
      <c r="B6" s="219"/>
      <c r="C6" s="449" t="s">
        <v>259</v>
      </c>
      <c r="D6" s="450" t="s">
        <v>108</v>
      </c>
      <c r="E6" s="450" t="s">
        <v>109</v>
      </c>
      <c r="F6" s="451"/>
      <c r="H6" s="218" t="s">
        <v>45</v>
      </c>
      <c r="I6" s="221" t="s">
        <v>192</v>
      </c>
      <c r="J6" s="221" t="s">
        <v>108</v>
      </c>
      <c r="K6" s="221" t="s">
        <v>109</v>
      </c>
      <c r="L6" s="222" t="s">
        <v>110</v>
      </c>
    </row>
    <row r="7" spans="2:12">
      <c r="B7" s="219"/>
      <c r="C7" s="452" t="s">
        <v>260</v>
      </c>
      <c r="D7" s="220">
        <f>'Sektor oświetlenia ulicznego'!E12</f>
        <v>99.154399999999995</v>
      </c>
      <c r="E7" s="453" t="s">
        <v>44</v>
      </c>
      <c r="F7" s="454"/>
      <c r="H7" s="260">
        <v>1</v>
      </c>
      <c r="I7" s="219" t="s">
        <v>171</v>
      </c>
      <c r="J7" s="220">
        <v>4</v>
      </c>
      <c r="K7" s="219" t="s">
        <v>112</v>
      </c>
      <c r="L7" s="261" t="s">
        <v>172</v>
      </c>
    </row>
    <row r="8" spans="2:12">
      <c r="B8" s="219"/>
      <c r="C8" s="452" t="s">
        <v>261</v>
      </c>
      <c r="D8" s="220">
        <v>7</v>
      </c>
      <c r="E8" s="453" t="s">
        <v>131</v>
      </c>
      <c r="F8" s="454"/>
      <c r="H8" s="260">
        <v>2</v>
      </c>
      <c r="I8" s="219" t="s">
        <v>114</v>
      </c>
      <c r="J8" s="220">
        <v>20</v>
      </c>
      <c r="K8" s="219" t="s">
        <v>44</v>
      </c>
      <c r="L8" s="261" t="s">
        <v>113</v>
      </c>
    </row>
    <row r="9" spans="2:12">
      <c r="B9" s="219"/>
      <c r="C9" s="452" t="s">
        <v>262</v>
      </c>
      <c r="D9" s="220">
        <f>D7-(D7*D8/100)</f>
        <v>92.213591999999991</v>
      </c>
      <c r="E9" s="453" t="s">
        <v>44</v>
      </c>
      <c r="F9" s="454" t="s">
        <v>118</v>
      </c>
      <c r="H9" s="260">
        <v>3</v>
      </c>
      <c r="I9" s="219" t="s">
        <v>115</v>
      </c>
      <c r="J9" s="220">
        <f>J8*J7</f>
        <v>80</v>
      </c>
      <c r="K9" s="219" t="s">
        <v>44</v>
      </c>
      <c r="L9" s="261"/>
    </row>
    <row r="10" spans="2:12">
      <c r="B10" s="219"/>
      <c r="C10" s="452" t="s">
        <v>263</v>
      </c>
      <c r="D10" s="220">
        <f>'[5]Sektor oświetlenia ulicznego'!E6</f>
        <v>4024</v>
      </c>
      <c r="E10" s="453" t="s">
        <v>264</v>
      </c>
      <c r="F10" s="454" t="s">
        <v>118</v>
      </c>
      <c r="H10" s="260">
        <v>4</v>
      </c>
      <c r="I10" s="219" t="s">
        <v>116</v>
      </c>
      <c r="J10" s="220">
        <v>1000</v>
      </c>
      <c r="K10" s="219" t="s">
        <v>117</v>
      </c>
      <c r="L10" s="261"/>
    </row>
    <row r="11" spans="2:12">
      <c r="B11" s="219"/>
      <c r="C11" s="452" t="s">
        <v>265</v>
      </c>
      <c r="D11" s="220">
        <f>D7*D10/1000</f>
        <v>398.99730559999995</v>
      </c>
      <c r="E11" s="453" t="s">
        <v>1</v>
      </c>
      <c r="F11" s="454"/>
      <c r="H11" s="260">
        <v>5</v>
      </c>
      <c r="I11" s="219" t="s">
        <v>176</v>
      </c>
      <c r="J11" s="220">
        <v>832</v>
      </c>
      <c r="K11" s="219" t="s">
        <v>119</v>
      </c>
      <c r="L11" s="261" t="s">
        <v>120</v>
      </c>
    </row>
    <row r="12" spans="2:12">
      <c r="B12" s="219"/>
      <c r="C12" s="452" t="s">
        <v>266</v>
      </c>
      <c r="D12" s="220">
        <f>D9*D10/1000</f>
        <v>371.06749420799997</v>
      </c>
      <c r="E12" s="453" t="s">
        <v>1</v>
      </c>
      <c r="F12" s="454"/>
      <c r="H12" s="260">
        <v>6</v>
      </c>
      <c r="I12" s="219" t="s">
        <v>175</v>
      </c>
      <c r="J12" s="220">
        <f>J9*J10/1000</f>
        <v>80</v>
      </c>
      <c r="K12" s="219" t="s">
        <v>95</v>
      </c>
      <c r="L12" s="261"/>
    </row>
    <row r="13" spans="2:12">
      <c r="B13" s="219"/>
      <c r="C13" s="452" t="s">
        <v>267</v>
      </c>
      <c r="D13" s="220">
        <v>100</v>
      </c>
      <c r="E13" s="453"/>
      <c r="F13" s="454"/>
      <c r="H13" s="260">
        <v>7</v>
      </c>
      <c r="I13" s="219" t="s">
        <v>174</v>
      </c>
      <c r="J13" s="220">
        <f>J12*J11/1000</f>
        <v>66.56</v>
      </c>
      <c r="K13" s="219" t="s">
        <v>121</v>
      </c>
      <c r="L13" s="261"/>
    </row>
    <row r="14" spans="2:12">
      <c r="B14" s="219"/>
      <c r="C14" s="452" t="s">
        <v>268</v>
      </c>
      <c r="D14" s="220">
        <f>D11-D12</f>
        <v>27.929811391999976</v>
      </c>
      <c r="E14" s="453" t="s">
        <v>1</v>
      </c>
      <c r="F14" s="454"/>
      <c r="H14" s="260">
        <v>8</v>
      </c>
      <c r="I14" s="219" t="s">
        <v>173</v>
      </c>
      <c r="J14" s="220">
        <v>7000</v>
      </c>
      <c r="K14" s="219" t="s">
        <v>122</v>
      </c>
      <c r="L14" s="261"/>
    </row>
    <row r="15" spans="2:12" ht="15" thickBot="1">
      <c r="B15" s="219"/>
      <c r="C15" s="452" t="s">
        <v>269</v>
      </c>
      <c r="D15" s="458">
        <f>'Wskaźniki emisji'!E18</f>
        <v>0.83150000000000002</v>
      </c>
      <c r="E15" s="453" t="s">
        <v>142</v>
      </c>
      <c r="F15" s="454" t="s">
        <v>120</v>
      </c>
      <c r="H15" s="262">
        <v>9</v>
      </c>
      <c r="I15" s="263" t="s">
        <v>177</v>
      </c>
      <c r="J15" s="264">
        <f>J14*J9</f>
        <v>560000</v>
      </c>
      <c r="K15" s="263" t="s">
        <v>123</v>
      </c>
      <c r="L15" s="265"/>
    </row>
    <row r="16" spans="2:12">
      <c r="B16" s="219"/>
      <c r="C16" s="452" t="s">
        <v>270</v>
      </c>
      <c r="D16" s="220">
        <f>D15*D14</f>
        <v>23.223638172447981</v>
      </c>
      <c r="E16" s="453" t="s">
        <v>121</v>
      </c>
      <c r="F16" s="454"/>
      <c r="H16" s="219"/>
      <c r="I16" s="219"/>
      <c r="J16" s="220"/>
      <c r="K16" s="219"/>
      <c r="L16" s="219"/>
    </row>
    <row r="17" spans="1:12" ht="15" thickBot="1">
      <c r="A17" s="216"/>
      <c r="B17" s="219"/>
      <c r="C17" s="455" t="s">
        <v>271</v>
      </c>
      <c r="D17" s="264">
        <f>D13*3000</f>
        <v>300000</v>
      </c>
      <c r="E17" s="456" t="s">
        <v>123</v>
      </c>
      <c r="F17" s="457"/>
    </row>
    <row r="18" spans="1:12">
      <c r="A18" s="216"/>
      <c r="B18" s="219"/>
      <c r="C18" s="219"/>
      <c r="D18" s="220"/>
      <c r="E18" s="219"/>
      <c r="F18" s="219"/>
    </row>
    <row r="19" spans="1:12" ht="15" thickBot="1">
      <c r="A19" s="216"/>
      <c r="B19" s="219"/>
      <c r="C19" s="219"/>
      <c r="D19" s="220"/>
      <c r="E19" s="219"/>
      <c r="F19" s="219"/>
    </row>
    <row r="20" spans="1:12" ht="15" thickBot="1">
      <c r="A20" s="216"/>
      <c r="B20" s="184"/>
      <c r="C20" s="911"/>
      <c r="D20" s="911"/>
      <c r="E20" s="911"/>
      <c r="F20" s="911"/>
      <c r="H20" s="218"/>
      <c r="I20" s="906" t="s">
        <v>124</v>
      </c>
      <c r="J20" s="906"/>
      <c r="K20" s="906"/>
      <c r="L20" s="907"/>
    </row>
    <row r="21" spans="1:12" ht="15" thickBot="1">
      <c r="A21" s="216"/>
      <c r="B21" s="184"/>
      <c r="C21" s="184"/>
      <c r="D21" s="184"/>
      <c r="E21" s="184"/>
      <c r="F21" s="184"/>
      <c r="H21" s="218" t="str">
        <f>H6</f>
        <v>Lp</v>
      </c>
      <c r="I21" s="221" t="str">
        <f>I6</f>
        <v>Dane</v>
      </c>
      <c r="J21" s="221" t="s">
        <v>108</v>
      </c>
      <c r="K21" s="221" t="s">
        <v>109</v>
      </c>
      <c r="L21" s="222" t="s">
        <v>110</v>
      </c>
    </row>
    <row r="22" spans="1:12">
      <c r="A22" s="216"/>
      <c r="B22" s="219"/>
      <c r="C22" s="219"/>
      <c r="D22" s="220"/>
      <c r="E22" s="219"/>
      <c r="F22" s="219"/>
      <c r="H22" s="492">
        <v>1</v>
      </c>
      <c r="I22" s="493" t="s">
        <v>111</v>
      </c>
      <c r="J22" s="494">
        <v>6</v>
      </c>
      <c r="K22" s="493" t="s">
        <v>125</v>
      </c>
      <c r="L22" s="495" t="s">
        <v>113</v>
      </c>
    </row>
    <row r="23" spans="1:12" ht="15" thickBot="1">
      <c r="A23" s="216"/>
      <c r="B23" s="219"/>
      <c r="C23" s="219"/>
      <c r="D23" s="220"/>
      <c r="E23" s="219"/>
      <c r="F23" s="219"/>
      <c r="H23" s="260">
        <v>2</v>
      </c>
      <c r="I23" s="219" t="s">
        <v>114</v>
      </c>
      <c r="J23" s="220">
        <v>20</v>
      </c>
      <c r="K23" s="219" t="s">
        <v>44</v>
      </c>
      <c r="L23" s="261" t="s">
        <v>113</v>
      </c>
    </row>
    <row r="24" spans="1:12" ht="15" thickBot="1">
      <c r="A24" s="216"/>
      <c r="B24" s="218"/>
      <c r="C24" s="543" t="s">
        <v>651</v>
      </c>
      <c r="D24" s="543"/>
      <c r="E24" s="543"/>
      <c r="F24" s="544"/>
      <c r="H24" s="260">
        <v>3</v>
      </c>
      <c r="I24" s="219" t="s">
        <v>115</v>
      </c>
      <c r="J24" s="220">
        <f>J23*J22</f>
        <v>120</v>
      </c>
      <c r="K24" s="219" t="s">
        <v>44</v>
      </c>
      <c r="L24" s="261"/>
    </row>
    <row r="25" spans="1:12" ht="15" thickBot="1">
      <c r="A25" s="216"/>
      <c r="B25" s="218" t="str">
        <f>H21</f>
        <v>Lp</v>
      </c>
      <c r="C25" s="221" t="str">
        <f>I6</f>
        <v>Dane</v>
      </c>
      <c r="D25" s="221" t="s">
        <v>108</v>
      </c>
      <c r="E25" s="221" t="s">
        <v>109</v>
      </c>
      <c r="F25" s="222" t="s">
        <v>110</v>
      </c>
      <c r="H25" s="558">
        <v>4</v>
      </c>
      <c r="I25" s="559" t="s">
        <v>116</v>
      </c>
      <c r="J25" s="560">
        <v>1000</v>
      </c>
      <c r="K25" s="559" t="s">
        <v>117</v>
      </c>
      <c r="L25" s="561" t="s">
        <v>118</v>
      </c>
    </row>
    <row r="26" spans="1:12">
      <c r="A26" s="216"/>
      <c r="B26" s="492">
        <v>1</v>
      </c>
      <c r="C26" s="493" t="s">
        <v>126</v>
      </c>
      <c r="D26" s="494">
        <f>'Informacje ogolne'!H12</f>
        <v>3993</v>
      </c>
      <c r="E26" s="493" t="s">
        <v>125</v>
      </c>
      <c r="F26" s="495" t="s">
        <v>127</v>
      </c>
      <c r="H26" s="558">
        <v>5</v>
      </c>
      <c r="I26" s="559" t="str">
        <f>I11</f>
        <v>Wskaźnik emisji dla energii elektrycznej (sieć)</v>
      </c>
      <c r="J26" s="560">
        <v>832</v>
      </c>
      <c r="K26" s="559" t="s">
        <v>119</v>
      </c>
      <c r="L26" s="561" t="s">
        <v>120</v>
      </c>
    </row>
    <row r="27" spans="1:12">
      <c r="A27" s="216"/>
      <c r="B27" s="260">
        <v>2</v>
      </c>
      <c r="C27" s="219" t="s">
        <v>178</v>
      </c>
      <c r="D27" s="220">
        <v>130</v>
      </c>
      <c r="E27" s="219" t="s">
        <v>128</v>
      </c>
      <c r="F27" s="261" t="s">
        <v>180</v>
      </c>
      <c r="H27" s="558">
        <v>6</v>
      </c>
      <c r="I27" s="559" t="s">
        <v>289</v>
      </c>
      <c r="J27" s="560">
        <v>2</v>
      </c>
      <c r="K27" s="559" t="str">
        <f>K22</f>
        <v>sztuk</v>
      </c>
      <c r="L27" s="561"/>
    </row>
    <row r="28" spans="1:12">
      <c r="A28" s="216"/>
      <c r="B28" s="260">
        <v>3</v>
      </c>
      <c r="C28" s="219" t="s">
        <v>179</v>
      </c>
      <c r="D28" s="220">
        <f>D26*D27</f>
        <v>519090</v>
      </c>
      <c r="E28" s="219" t="s">
        <v>128</v>
      </c>
      <c r="F28" s="261"/>
      <c r="H28" s="558">
        <v>7</v>
      </c>
      <c r="I28" s="559" t="str">
        <f>I24</f>
        <v>Łączna moc instalacji</v>
      </c>
      <c r="J28" s="560">
        <v>40</v>
      </c>
      <c r="K28" s="559" t="s">
        <v>44</v>
      </c>
      <c r="L28" s="561"/>
    </row>
    <row r="29" spans="1:12">
      <c r="A29" s="216"/>
      <c r="B29" s="260">
        <v>4</v>
      </c>
      <c r="C29" s="219" t="s">
        <v>646</v>
      </c>
      <c r="D29" s="220">
        <f>D27*D30*D35</f>
        <v>8162.7</v>
      </c>
      <c r="E29" s="219" t="s">
        <v>129</v>
      </c>
      <c r="F29" s="261"/>
      <c r="H29" s="563">
        <v>8</v>
      </c>
      <c r="I29" s="564" t="str">
        <f>I31</f>
        <v>Uzysk energii</v>
      </c>
      <c r="J29" s="564">
        <f>J28*J25/1000</f>
        <v>40</v>
      </c>
      <c r="K29" s="564" t="str">
        <f>K31</f>
        <v>MWh/rok</v>
      </c>
      <c r="L29" s="566"/>
    </row>
    <row r="30" spans="1:12">
      <c r="A30" s="216"/>
      <c r="B30" s="260">
        <v>5</v>
      </c>
      <c r="C30" s="219" t="s">
        <v>185</v>
      </c>
      <c r="D30" s="223">
        <v>0.89700000000000002</v>
      </c>
      <c r="E30" s="219" t="s">
        <v>130</v>
      </c>
      <c r="F30" s="261"/>
      <c r="H30" s="563">
        <v>9</v>
      </c>
      <c r="I30" s="564" t="s">
        <v>544</v>
      </c>
      <c r="J30" s="569">
        <f>J29*J26/1000</f>
        <v>33.28</v>
      </c>
      <c r="K30" s="564" t="str">
        <f>K32</f>
        <v>Mg CO2</v>
      </c>
      <c r="L30" s="566"/>
    </row>
    <row r="31" spans="1:12" ht="16.2" customHeight="1">
      <c r="A31" s="216"/>
      <c r="B31" s="631">
        <v>6</v>
      </c>
      <c r="C31" s="678" t="s">
        <v>654</v>
      </c>
      <c r="D31" s="686">
        <v>0.6</v>
      </c>
      <c r="E31" s="678" t="s">
        <v>131</v>
      </c>
      <c r="F31" s="266"/>
      <c r="H31" s="558">
        <v>10</v>
      </c>
      <c r="I31" s="559" t="str">
        <f>I12</f>
        <v>Uzysk energii</v>
      </c>
      <c r="J31" s="560">
        <f>J24*J25/1000</f>
        <v>120</v>
      </c>
      <c r="K31" s="559" t="s">
        <v>95</v>
      </c>
      <c r="L31" s="561"/>
    </row>
    <row r="32" spans="1:12">
      <c r="A32" s="216"/>
      <c r="B32" s="631">
        <v>7</v>
      </c>
      <c r="C32" s="678" t="s">
        <v>655</v>
      </c>
      <c r="D32" s="686">
        <v>0.85</v>
      </c>
      <c r="E32" s="678" t="s">
        <v>131</v>
      </c>
      <c r="F32" s="266"/>
      <c r="H32" s="260">
        <v>11</v>
      </c>
      <c r="I32" s="219" t="s">
        <v>545</v>
      </c>
      <c r="J32" s="220">
        <f>J31*J26/1000</f>
        <v>99.84</v>
      </c>
      <c r="K32" s="219" t="s">
        <v>121</v>
      </c>
      <c r="L32" s="261"/>
    </row>
    <row r="33" spans="1:12" ht="15.6" customHeight="1">
      <c r="A33" s="216"/>
      <c r="B33" s="631">
        <v>8</v>
      </c>
      <c r="C33" s="678" t="s">
        <v>656</v>
      </c>
      <c r="D33" s="679">
        <f>D29/D31</f>
        <v>13604.5</v>
      </c>
      <c r="E33" s="216"/>
      <c r="F33" s="266"/>
      <c r="H33" s="260">
        <v>12</v>
      </c>
      <c r="I33" s="219" t="str">
        <f>I14</f>
        <v>Koszt 1 kW instalacji</v>
      </c>
      <c r="J33" s="220">
        <v>7000</v>
      </c>
      <c r="K33" s="219" t="s">
        <v>122</v>
      </c>
      <c r="L33" s="261" t="s">
        <v>118</v>
      </c>
    </row>
    <row r="34" spans="1:12" ht="15.6" customHeight="1">
      <c r="A34" s="216"/>
      <c r="B34" s="558">
        <v>9</v>
      </c>
      <c r="C34" s="559" t="s">
        <v>181</v>
      </c>
      <c r="D34" s="674">
        <v>85</v>
      </c>
      <c r="E34" s="559" t="s">
        <v>131</v>
      </c>
      <c r="F34" s="561" t="s">
        <v>180</v>
      </c>
      <c r="H34" s="260"/>
      <c r="I34" s="219"/>
      <c r="J34" s="220"/>
      <c r="K34" s="219"/>
      <c r="L34" s="261"/>
    </row>
    <row r="35" spans="1:12" ht="15" thickBot="1">
      <c r="A35" s="216"/>
      <c r="B35" s="563">
        <v>10</v>
      </c>
      <c r="C35" s="564" t="s">
        <v>286</v>
      </c>
      <c r="D35" s="564">
        <v>70</v>
      </c>
      <c r="E35" s="564" t="s">
        <v>125</v>
      </c>
      <c r="F35" s="566"/>
      <c r="H35" s="262">
        <v>13</v>
      </c>
      <c r="I35" s="263" t="str">
        <f>I15</f>
        <v>Sumaryczny koszt</v>
      </c>
      <c r="J35" s="264">
        <f>J33*J24</f>
        <v>840000</v>
      </c>
      <c r="K35" s="263" t="s">
        <v>122</v>
      </c>
      <c r="L35" s="265"/>
    </row>
    <row r="36" spans="1:12">
      <c r="A36" s="216"/>
      <c r="B36" s="563">
        <v>11</v>
      </c>
      <c r="C36" s="564" t="s">
        <v>545</v>
      </c>
      <c r="D36" s="576">
        <f>D33*D38</f>
        <v>1288.7542850000002</v>
      </c>
      <c r="E36" s="564" t="str">
        <f>E40</f>
        <v>Mg CO2</v>
      </c>
      <c r="F36" s="566"/>
    </row>
    <row r="37" spans="1:12" ht="17.399999999999999" customHeight="1">
      <c r="A37" s="216"/>
      <c r="B37" s="563">
        <v>12</v>
      </c>
      <c r="C37" s="564" t="s">
        <v>644</v>
      </c>
      <c r="D37" s="576">
        <f>D36/0.346</f>
        <v>3724.7233670520241</v>
      </c>
      <c r="E37" s="564" t="str">
        <f>E41</f>
        <v>MWh</v>
      </c>
      <c r="F37" s="566"/>
      <c r="H37" s="216"/>
      <c r="I37" s="912"/>
      <c r="J37" s="912"/>
      <c r="K37" s="912"/>
      <c r="L37" s="912"/>
    </row>
    <row r="38" spans="1:12">
      <c r="A38" s="216"/>
      <c r="B38" s="558">
        <v>13</v>
      </c>
      <c r="C38" s="559" t="s">
        <v>182</v>
      </c>
      <c r="D38" s="675">
        <f>'Wskaźniki emisji'!G16</f>
        <v>9.4730000000000009E-2</v>
      </c>
      <c r="E38" s="559" t="s">
        <v>132</v>
      </c>
      <c r="F38" s="561" t="s">
        <v>120</v>
      </c>
      <c r="H38" s="184"/>
      <c r="I38" s="184"/>
      <c r="J38" s="184"/>
      <c r="K38" s="184"/>
      <c r="L38" s="184"/>
    </row>
    <row r="39" spans="1:12">
      <c r="A39" s="216"/>
      <c r="B39" s="558">
        <v>14</v>
      </c>
      <c r="C39" s="559" t="s">
        <v>183</v>
      </c>
      <c r="D39" s="560">
        <v>0</v>
      </c>
      <c r="E39" s="559" t="s">
        <v>132</v>
      </c>
      <c r="F39" s="561" t="s">
        <v>120</v>
      </c>
      <c r="H39" s="219"/>
      <c r="I39" s="219"/>
      <c r="J39" s="220"/>
      <c r="K39" s="219"/>
      <c r="L39" s="219"/>
    </row>
    <row r="40" spans="1:12">
      <c r="A40" s="216"/>
      <c r="B40" s="558">
        <v>15</v>
      </c>
      <c r="C40" s="559" t="s">
        <v>544</v>
      </c>
      <c r="D40" s="560">
        <f>D36/2</f>
        <v>644.3771425000001</v>
      </c>
      <c r="E40" s="559" t="s">
        <v>121</v>
      </c>
      <c r="F40" s="561"/>
      <c r="H40" s="559"/>
      <c r="I40" s="559"/>
      <c r="J40" s="560"/>
      <c r="K40" s="559"/>
      <c r="L40" s="559"/>
    </row>
    <row r="41" spans="1:12">
      <c r="A41" s="216"/>
      <c r="B41" s="558">
        <v>16</v>
      </c>
      <c r="C41" s="559" t="s">
        <v>645</v>
      </c>
      <c r="D41" s="560">
        <f>D40/0.346</f>
        <v>1862.361683526012</v>
      </c>
      <c r="E41" s="559" t="s">
        <v>1</v>
      </c>
      <c r="F41" s="561"/>
      <c r="H41" s="559"/>
      <c r="I41" s="559"/>
      <c r="J41" s="560"/>
      <c r="K41" s="559"/>
      <c r="L41" s="559"/>
    </row>
    <row r="42" spans="1:12">
      <c r="A42" s="216"/>
      <c r="B42" s="558">
        <v>17</v>
      </c>
      <c r="C42" s="559" t="s">
        <v>184</v>
      </c>
      <c r="D42" s="560">
        <v>9000</v>
      </c>
      <c r="E42" s="559" t="s">
        <v>133</v>
      </c>
      <c r="F42" s="561" t="s">
        <v>118</v>
      </c>
      <c r="H42" s="559"/>
      <c r="I42" s="559"/>
      <c r="J42" s="560"/>
      <c r="K42" s="559"/>
      <c r="L42" s="559"/>
    </row>
    <row r="43" spans="1:12">
      <c r="A43" s="216"/>
      <c r="B43" s="558">
        <v>18</v>
      </c>
      <c r="C43" s="559" t="str">
        <f>I35</f>
        <v>Sumaryczny koszt</v>
      </c>
      <c r="D43" s="560">
        <f>D42*D35</f>
        <v>630000</v>
      </c>
      <c r="E43" s="559" t="s">
        <v>123</v>
      </c>
      <c r="F43" s="561"/>
      <c r="H43" s="559"/>
      <c r="I43" s="559"/>
      <c r="J43" s="562"/>
      <c r="K43" s="559"/>
      <c r="L43" s="559"/>
    </row>
    <row r="44" spans="1:12">
      <c r="A44" s="216"/>
      <c r="B44" s="631">
        <v>19</v>
      </c>
      <c r="C44" s="678" t="str">
        <f t="shared" ref="C44:E45" si="0">C83</f>
        <v>Wskaźnik emisji PM10 dla kotłów pozaklasowych</v>
      </c>
      <c r="D44" s="216">
        <f t="shared" si="0"/>
        <v>4.0400000000000001E-4</v>
      </c>
      <c r="E44" s="216" t="str">
        <f t="shared" si="0"/>
        <v>Mg PM10/GJ</v>
      </c>
      <c r="F44" s="266"/>
      <c r="H44" s="564"/>
      <c r="I44" s="564"/>
      <c r="J44" s="565"/>
      <c r="K44" s="564"/>
      <c r="L44" s="564"/>
    </row>
    <row r="45" spans="1:12">
      <c r="A45" s="216"/>
      <c r="B45" s="631">
        <v>20</v>
      </c>
      <c r="C45" s="678" t="str">
        <f t="shared" si="0"/>
        <v>Wskaźnik emisji PM2.5 dla kotłów pozaklasowych</v>
      </c>
      <c r="D45" s="216">
        <f t="shared" si="0"/>
        <v>3.9799999999999997E-4</v>
      </c>
      <c r="E45" s="216" t="str">
        <f t="shared" si="0"/>
        <v>PM2.5/GJ</v>
      </c>
      <c r="F45" s="266"/>
      <c r="H45" s="564"/>
      <c r="I45" s="564"/>
      <c r="J45" s="567"/>
      <c r="K45" s="564"/>
      <c r="L45" s="564"/>
    </row>
    <row r="46" spans="1:12">
      <c r="A46" s="216"/>
      <c r="B46" s="631">
        <v>21</v>
      </c>
      <c r="C46" s="633" t="s">
        <v>647</v>
      </c>
      <c r="D46" s="679">
        <f>D29*D44</f>
        <v>3.2977308000000001</v>
      </c>
      <c r="E46" s="216"/>
      <c r="F46" s="266"/>
      <c r="H46" s="564"/>
      <c r="I46" s="564"/>
      <c r="J46" s="567"/>
      <c r="K46" s="564"/>
      <c r="L46" s="564"/>
    </row>
    <row r="47" spans="1:12">
      <c r="A47" s="216"/>
      <c r="B47" s="631">
        <v>22</v>
      </c>
      <c r="C47" s="633" t="s">
        <v>648</v>
      </c>
      <c r="D47" s="679">
        <f>D29*D45</f>
        <v>3.2487545999999998</v>
      </c>
      <c r="E47" s="216"/>
      <c r="F47" s="266"/>
      <c r="H47" s="564"/>
      <c r="I47" s="564"/>
      <c r="J47" s="568"/>
      <c r="K47" s="564"/>
      <c r="L47" s="564"/>
    </row>
    <row r="48" spans="1:12">
      <c r="A48" s="216"/>
      <c r="B48" s="631">
        <v>23</v>
      </c>
      <c r="C48" s="678" t="s">
        <v>649</v>
      </c>
      <c r="D48" s="679">
        <f>D46/2</f>
        <v>1.6488654</v>
      </c>
      <c r="E48" s="216"/>
      <c r="F48" s="266"/>
      <c r="H48" s="559"/>
      <c r="I48" s="559"/>
      <c r="J48" s="560"/>
      <c r="K48" s="559"/>
      <c r="L48" s="559"/>
    </row>
    <row r="49" spans="1:12" ht="15" thickBot="1">
      <c r="A49" s="216"/>
      <c r="B49" s="680">
        <v>24</v>
      </c>
      <c r="C49" s="681" t="s">
        <v>650</v>
      </c>
      <c r="D49" s="684">
        <f>D47/2</f>
        <v>1.6243772999999999</v>
      </c>
      <c r="E49" s="682"/>
      <c r="F49" s="683"/>
      <c r="H49" s="559"/>
      <c r="I49" s="559"/>
      <c r="J49" s="560"/>
      <c r="K49" s="559"/>
      <c r="L49" s="559"/>
    </row>
    <row r="50" spans="1:12">
      <c r="A50" s="216"/>
      <c r="C50" s="676" t="s">
        <v>652</v>
      </c>
      <c r="D50" s="677">
        <f>D35*D99</f>
        <v>630000</v>
      </c>
      <c r="E50" s="676" t="s">
        <v>653</v>
      </c>
      <c r="H50" s="559"/>
      <c r="I50" s="559"/>
      <c r="J50" s="560"/>
      <c r="K50" s="559"/>
      <c r="L50" s="559"/>
    </row>
    <row r="51" spans="1:12">
      <c r="A51" s="216"/>
      <c r="H51" s="564"/>
      <c r="I51" s="559"/>
      <c r="J51" s="569"/>
      <c r="K51" s="564"/>
      <c r="L51" s="564"/>
    </row>
    <row r="52" spans="1:12" ht="15" thickBot="1">
      <c r="A52" s="216"/>
      <c r="B52" s="219"/>
      <c r="C52" s="219"/>
      <c r="D52" s="220"/>
      <c r="E52" s="219"/>
      <c r="F52" s="219"/>
    </row>
    <row r="53" spans="1:12" ht="15" thickBot="1">
      <c r="A53" s="216"/>
      <c r="B53" s="905" t="s">
        <v>134</v>
      </c>
      <c r="C53" s="906"/>
      <c r="D53" s="906"/>
      <c r="E53" s="906"/>
      <c r="F53" s="907"/>
      <c r="H53" s="905" t="s">
        <v>135</v>
      </c>
      <c r="I53" s="906"/>
      <c r="J53" s="906"/>
      <c r="K53" s="906"/>
      <c r="L53" s="907"/>
    </row>
    <row r="54" spans="1:12" ht="15" thickBot="1">
      <c r="B54" s="218">
        <f>H38</f>
        <v>0</v>
      </c>
      <c r="C54" s="221" t="str">
        <f>C25</f>
        <v>Dane</v>
      </c>
      <c r="D54" s="221" t="s">
        <v>108</v>
      </c>
      <c r="E54" s="221" t="s">
        <v>109</v>
      </c>
      <c r="F54" s="222" t="s">
        <v>110</v>
      </c>
      <c r="H54" s="218">
        <f>B54</f>
        <v>0</v>
      </c>
      <c r="I54" s="221" t="str">
        <f>C54</f>
        <v>Dane</v>
      </c>
      <c r="J54" s="221" t="s">
        <v>108</v>
      </c>
      <c r="K54" s="221" t="s">
        <v>109</v>
      </c>
      <c r="L54" s="222" t="s">
        <v>110</v>
      </c>
    </row>
    <row r="55" spans="1:12">
      <c r="B55" s="488">
        <v>1</v>
      </c>
      <c r="C55" s="489" t="s">
        <v>187</v>
      </c>
      <c r="D55" s="490">
        <v>50</v>
      </c>
      <c r="E55" s="489" t="s">
        <v>125</v>
      </c>
      <c r="F55" s="491" t="s">
        <v>180</v>
      </c>
      <c r="H55" s="488">
        <v>1</v>
      </c>
      <c r="I55" s="489" t="s">
        <v>190</v>
      </c>
      <c r="J55" s="490">
        <v>150</v>
      </c>
      <c r="K55" s="489" t="s">
        <v>125</v>
      </c>
      <c r="L55" s="491" t="str">
        <f>F55</f>
        <v>Ankietyzacja</v>
      </c>
    </row>
    <row r="56" spans="1:12">
      <c r="B56" s="267">
        <v>2</v>
      </c>
      <c r="C56" s="268" t="s">
        <v>188</v>
      </c>
      <c r="D56" s="269">
        <v>4</v>
      </c>
      <c r="E56" s="268" t="s">
        <v>44</v>
      </c>
      <c r="F56" s="270" t="s">
        <v>113</v>
      </c>
      <c r="H56" s="267">
        <v>2</v>
      </c>
      <c r="I56" s="268" t="s">
        <v>191</v>
      </c>
      <c r="J56" s="269">
        <v>5</v>
      </c>
      <c r="K56" s="268" t="s">
        <v>128</v>
      </c>
      <c r="L56" s="270" t="s">
        <v>113</v>
      </c>
    </row>
    <row r="57" spans="1:12">
      <c r="B57" s="267">
        <v>3</v>
      </c>
      <c r="C57" s="268" t="s">
        <v>189</v>
      </c>
      <c r="D57" s="269">
        <f>D56*D55</f>
        <v>200</v>
      </c>
      <c r="E57" s="268" t="s">
        <v>44</v>
      </c>
      <c r="F57" s="270"/>
      <c r="H57" s="267">
        <v>3</v>
      </c>
      <c r="I57" s="268" t="s">
        <v>136</v>
      </c>
      <c r="J57" s="269">
        <v>3.4</v>
      </c>
      <c r="K57" s="268" t="s">
        <v>137</v>
      </c>
      <c r="L57" s="275" t="s">
        <v>118</v>
      </c>
    </row>
    <row r="58" spans="1:12">
      <c r="B58" s="571">
        <v>4</v>
      </c>
      <c r="C58" s="572" t="s">
        <v>138</v>
      </c>
      <c r="D58" s="573">
        <v>1000</v>
      </c>
      <c r="E58" s="572" t="s">
        <v>117</v>
      </c>
      <c r="F58" s="574" t="s">
        <v>118</v>
      </c>
      <c r="G58" s="575"/>
      <c r="H58" s="571">
        <v>4</v>
      </c>
      <c r="I58" s="572" t="s">
        <v>139</v>
      </c>
      <c r="J58" s="573">
        <v>275</v>
      </c>
      <c r="K58" s="572" t="s">
        <v>140</v>
      </c>
      <c r="L58" s="275" t="s">
        <v>118</v>
      </c>
    </row>
    <row r="59" spans="1:12">
      <c r="B59" s="571">
        <v>5</v>
      </c>
      <c r="C59" s="572" t="str">
        <f>I11</f>
        <v>Wskaźnik emisji dla energii elektrycznej (sieć)</v>
      </c>
      <c r="D59" s="573">
        <f>J26</f>
        <v>832</v>
      </c>
      <c r="E59" s="572" t="s">
        <v>119</v>
      </c>
      <c r="F59" s="574" t="s">
        <v>120</v>
      </c>
      <c r="G59" s="575"/>
      <c r="H59" s="571">
        <v>5</v>
      </c>
      <c r="I59" s="572" t="s">
        <v>141</v>
      </c>
      <c r="J59" s="573">
        <f>J58*J57*J56</f>
        <v>4675</v>
      </c>
      <c r="K59" s="572" t="s">
        <v>117</v>
      </c>
      <c r="L59" s="270" t="s">
        <v>120</v>
      </c>
    </row>
    <row r="60" spans="1:12">
      <c r="B60" s="563">
        <v>6</v>
      </c>
      <c r="C60" s="564" t="s">
        <v>287</v>
      </c>
      <c r="D60" s="564">
        <v>100</v>
      </c>
      <c r="E60" s="564" t="str">
        <f>E58</f>
        <v>kWh</v>
      </c>
      <c r="F60" s="566"/>
      <c r="G60" s="575"/>
      <c r="H60" s="563">
        <v>6</v>
      </c>
      <c r="I60" s="564" t="s">
        <v>288</v>
      </c>
      <c r="J60" s="564">
        <v>70</v>
      </c>
      <c r="K60" s="564" t="str">
        <f>K55</f>
        <v>sztuk</v>
      </c>
      <c r="L60" s="570"/>
    </row>
    <row r="61" spans="1:12">
      <c r="B61" s="563">
        <v>7</v>
      </c>
      <c r="C61" s="564" t="s">
        <v>542</v>
      </c>
      <c r="D61" s="569">
        <f>D60*D58/1000</f>
        <v>100</v>
      </c>
      <c r="E61" s="564" t="str">
        <f>E63</f>
        <v>MWh/rok</v>
      </c>
      <c r="F61" s="566"/>
      <c r="G61" s="575"/>
      <c r="H61" s="563">
        <v>7</v>
      </c>
      <c r="I61" s="564" t="s">
        <v>542</v>
      </c>
      <c r="J61" s="569">
        <f>J60*J59/1000</f>
        <v>327.25</v>
      </c>
      <c r="K61" s="564" t="str">
        <f>K63</f>
        <v>MWh</v>
      </c>
      <c r="L61" s="570"/>
    </row>
    <row r="62" spans="1:12">
      <c r="B62" s="563">
        <v>8</v>
      </c>
      <c r="C62" s="564" t="str">
        <f>C64</f>
        <v>Redukcja emisji CO2 2020 rok</v>
      </c>
      <c r="D62" s="576">
        <f>D61*D59/1000</f>
        <v>83.2</v>
      </c>
      <c r="E62" s="564" t="str">
        <f>E64</f>
        <v>Mg CO2</v>
      </c>
      <c r="F62" s="566"/>
      <c r="G62" s="575"/>
      <c r="H62" s="563">
        <v>8</v>
      </c>
      <c r="I62" s="564" t="s">
        <v>544</v>
      </c>
      <c r="J62" s="576">
        <f>J61*J64</f>
        <v>31.000392500000004</v>
      </c>
      <c r="K62" s="564" t="str">
        <f>K65</f>
        <v>Mg CO2</v>
      </c>
      <c r="L62" s="570"/>
    </row>
    <row r="63" spans="1:12">
      <c r="B63" s="571">
        <v>9</v>
      </c>
      <c r="C63" s="572" t="s">
        <v>541</v>
      </c>
      <c r="D63" s="573">
        <f>D57*D58/1000</f>
        <v>200</v>
      </c>
      <c r="E63" s="572" t="s">
        <v>95</v>
      </c>
      <c r="F63" s="574"/>
      <c r="G63" s="575"/>
      <c r="H63" s="571">
        <v>9</v>
      </c>
      <c r="I63" s="572" t="s">
        <v>543</v>
      </c>
      <c r="J63" s="573">
        <f>J59*J55/1000</f>
        <v>701.25</v>
      </c>
      <c r="K63" s="572" t="s">
        <v>1</v>
      </c>
      <c r="L63" s="270"/>
    </row>
    <row r="64" spans="1:12">
      <c r="B64" s="571">
        <v>10</v>
      </c>
      <c r="C64" s="572" t="str">
        <f>C40</f>
        <v>Redukcja emisji CO2 2020 rok</v>
      </c>
      <c r="D64" s="573">
        <f>D63*D59/1000</f>
        <v>166.4</v>
      </c>
      <c r="E64" s="572" t="s">
        <v>121</v>
      </c>
      <c r="F64" s="574"/>
      <c r="G64" s="575"/>
      <c r="H64" s="571">
        <v>10</v>
      </c>
      <c r="I64" s="572" t="e">
        <f>#REF!</f>
        <v>#REF!</v>
      </c>
      <c r="J64" s="577">
        <f>'Wskaźniki emisji'!G16</f>
        <v>9.4730000000000009E-2</v>
      </c>
      <c r="K64" s="572" t="s">
        <v>142</v>
      </c>
      <c r="L64" s="270" t="s">
        <v>120</v>
      </c>
    </row>
    <row r="65" spans="2:12">
      <c r="B65" s="267">
        <v>11</v>
      </c>
      <c r="C65" s="268" t="str">
        <f>I33</f>
        <v>Koszt 1 kW instalacji</v>
      </c>
      <c r="D65" s="269">
        <v>8000</v>
      </c>
      <c r="E65" s="268" t="s">
        <v>122</v>
      </c>
      <c r="F65" s="270" t="s">
        <v>118</v>
      </c>
      <c r="H65" s="267">
        <v>11</v>
      </c>
      <c r="I65" s="268" t="str">
        <f>C64</f>
        <v>Redukcja emisji CO2 2020 rok</v>
      </c>
      <c r="J65" s="269">
        <f>J64*J63</f>
        <v>66.429412500000012</v>
      </c>
      <c r="K65" s="268" t="s">
        <v>121</v>
      </c>
      <c r="L65" s="270"/>
    </row>
    <row r="66" spans="2:12" ht="15" thickBot="1">
      <c r="B66" s="271">
        <v>12</v>
      </c>
      <c r="C66" s="272" t="str">
        <f>C43</f>
        <v>Sumaryczny koszt</v>
      </c>
      <c r="D66" s="273">
        <f>D65*D57</f>
        <v>1600000</v>
      </c>
      <c r="E66" s="272" t="s">
        <v>122</v>
      </c>
      <c r="F66" s="274"/>
      <c r="H66" s="267">
        <v>12</v>
      </c>
      <c r="I66" s="268" t="s">
        <v>143</v>
      </c>
      <c r="J66" s="269">
        <v>14000</v>
      </c>
      <c r="K66" s="268" t="s">
        <v>144</v>
      </c>
      <c r="L66" s="275" t="s">
        <v>118</v>
      </c>
    </row>
    <row r="67" spans="2:12" ht="15" thickBot="1">
      <c r="B67" s="216"/>
      <c r="C67" s="216"/>
      <c r="D67" s="216"/>
      <c r="E67" s="216"/>
      <c r="F67" s="216"/>
      <c r="H67" s="271">
        <v>13</v>
      </c>
      <c r="I67" s="272" t="str">
        <f>C66</f>
        <v>Sumaryczny koszt</v>
      </c>
      <c r="J67" s="273">
        <f>J66*J55</f>
        <v>2100000</v>
      </c>
      <c r="K67" s="272" t="s">
        <v>123</v>
      </c>
      <c r="L67" s="274"/>
    </row>
    <row r="68" spans="2:12">
      <c r="B68" s="216"/>
      <c r="C68" s="216"/>
      <c r="D68" s="216"/>
      <c r="E68" s="216"/>
      <c r="F68" s="216"/>
    </row>
    <row r="69" spans="2:12" ht="15" thickBot="1">
      <c r="B69" s="216"/>
      <c r="C69" s="216"/>
      <c r="D69" s="216"/>
      <c r="E69" s="216"/>
      <c r="F69" s="216"/>
    </row>
    <row r="70" spans="2:12" ht="15" thickBot="1">
      <c r="B70" s="586"/>
      <c r="C70" s="903" t="s">
        <v>618</v>
      </c>
      <c r="D70" s="903"/>
      <c r="E70" s="903"/>
      <c r="F70" s="904"/>
      <c r="H70" s="586"/>
      <c r="I70" s="903" t="s">
        <v>627</v>
      </c>
      <c r="J70" s="903"/>
      <c r="K70" s="903"/>
      <c r="L70" s="904"/>
    </row>
    <row r="71" spans="2:12" ht="15" thickBot="1">
      <c r="B71" s="586" t="s">
        <v>87</v>
      </c>
      <c r="C71" s="587" t="s">
        <v>259</v>
      </c>
      <c r="D71" s="587" t="s">
        <v>108</v>
      </c>
      <c r="E71" s="587" t="s">
        <v>109</v>
      </c>
      <c r="F71" s="588" t="s">
        <v>110</v>
      </c>
      <c r="H71" s="586" t="s">
        <v>87</v>
      </c>
      <c r="I71" s="587" t="s">
        <v>259</v>
      </c>
      <c r="J71" s="587" t="s">
        <v>108</v>
      </c>
      <c r="K71" s="587" t="s">
        <v>109</v>
      </c>
      <c r="L71" s="588" t="s">
        <v>110</v>
      </c>
    </row>
    <row r="72" spans="2:12">
      <c r="B72" s="611">
        <v>1</v>
      </c>
      <c r="C72" s="612" t="s">
        <v>126</v>
      </c>
      <c r="D72" s="613">
        <f>'Informacje ogolne'!H12</f>
        <v>3993</v>
      </c>
      <c r="E72" s="612" t="s">
        <v>125</v>
      </c>
      <c r="F72" s="614" t="s">
        <v>127</v>
      </c>
      <c r="H72" s="611">
        <v>1</v>
      </c>
      <c r="I72" s="612" t="s">
        <v>126</v>
      </c>
      <c r="J72" s="613">
        <f>D72</f>
        <v>3993</v>
      </c>
      <c r="K72" s="612" t="s">
        <v>125</v>
      </c>
      <c r="L72" s="614" t="s">
        <v>127</v>
      </c>
    </row>
    <row r="73" spans="2:12">
      <c r="B73" s="589">
        <v>2</v>
      </c>
      <c r="C73" s="590" t="s">
        <v>588</v>
      </c>
      <c r="D73" s="591">
        <v>130</v>
      </c>
      <c r="E73" s="590" t="s">
        <v>128</v>
      </c>
      <c r="F73" s="592" t="s">
        <v>180</v>
      </c>
      <c r="H73" s="589">
        <v>2</v>
      </c>
      <c r="I73" s="590" t="s">
        <v>588</v>
      </c>
      <c r="J73" s="591">
        <f>D73</f>
        <v>130</v>
      </c>
      <c r="K73" s="590" t="s">
        <v>128</v>
      </c>
      <c r="L73" s="592" t="s">
        <v>180</v>
      </c>
    </row>
    <row r="74" spans="2:12">
      <c r="B74" s="589">
        <v>3</v>
      </c>
      <c r="C74" s="590" t="s">
        <v>589</v>
      </c>
      <c r="D74" s="593">
        <f>'Sektor mieszkaniowy'!F5</f>
        <v>0.89700000000000002</v>
      </c>
      <c r="E74" s="590" t="s">
        <v>130</v>
      </c>
      <c r="F74" s="592" t="s">
        <v>590</v>
      </c>
      <c r="H74" s="589">
        <v>3</v>
      </c>
      <c r="I74" s="590" t="s">
        <v>589</v>
      </c>
      <c r="J74" s="593">
        <f>D74</f>
        <v>0.89700000000000002</v>
      </c>
      <c r="K74" s="590" t="s">
        <v>130</v>
      </c>
      <c r="L74" s="592" t="s">
        <v>590</v>
      </c>
    </row>
    <row r="75" spans="2:12">
      <c r="B75" s="589">
        <v>4</v>
      </c>
      <c r="C75" s="590" t="s">
        <v>591</v>
      </c>
      <c r="D75" s="591">
        <v>120</v>
      </c>
      <c r="E75" s="590" t="s">
        <v>125</v>
      </c>
      <c r="F75" s="592"/>
      <c r="H75" s="589">
        <v>4</v>
      </c>
      <c r="I75" s="590" t="s">
        <v>591</v>
      </c>
      <c r="J75" s="591">
        <v>370</v>
      </c>
      <c r="K75" s="590" t="s">
        <v>125</v>
      </c>
      <c r="L75" s="592"/>
    </row>
    <row r="76" spans="2:12">
      <c r="B76" s="589">
        <v>5</v>
      </c>
      <c r="C76" s="594" t="s">
        <v>592</v>
      </c>
      <c r="D76" s="594">
        <f>D73*D75</f>
        <v>15600</v>
      </c>
      <c r="E76" s="594" t="s">
        <v>128</v>
      </c>
      <c r="F76" s="595"/>
      <c r="H76" s="589">
        <v>5</v>
      </c>
      <c r="I76" s="594" t="s">
        <v>592</v>
      </c>
      <c r="J76" s="594">
        <f>J73*J75</f>
        <v>48100</v>
      </c>
      <c r="K76" s="594" t="s">
        <v>128</v>
      </c>
      <c r="L76" s="595"/>
    </row>
    <row r="77" spans="2:12">
      <c r="B77" s="589">
        <v>6</v>
      </c>
      <c r="C77" s="594" t="s">
        <v>593</v>
      </c>
      <c r="D77" s="596">
        <f>D76*D74</f>
        <v>13993.2</v>
      </c>
      <c r="E77" s="597" t="s">
        <v>129</v>
      </c>
      <c r="F77" s="598"/>
      <c r="H77" s="589">
        <v>6</v>
      </c>
      <c r="I77" s="594" t="s">
        <v>593</v>
      </c>
      <c r="J77" s="596">
        <f>J76*J74</f>
        <v>43145.700000000004</v>
      </c>
      <c r="K77" s="597" t="s">
        <v>129</v>
      </c>
      <c r="L77" s="598"/>
    </row>
    <row r="78" spans="2:12">
      <c r="B78" s="589">
        <v>7</v>
      </c>
      <c r="C78" s="594" t="s">
        <v>594</v>
      </c>
      <c r="D78" s="599">
        <v>0.65</v>
      </c>
      <c r="E78" s="594"/>
      <c r="F78" s="595"/>
      <c r="H78" s="622">
        <v>7</v>
      </c>
      <c r="I78" s="623" t="str">
        <f>C78</f>
        <v>Sprawność kotłów pozaklasowych</v>
      </c>
      <c r="J78" s="687">
        <v>0.65</v>
      </c>
      <c r="K78" s="623"/>
      <c r="L78" s="689"/>
    </row>
    <row r="79" spans="2:12">
      <c r="B79" s="589">
        <v>8</v>
      </c>
      <c r="C79" s="594" t="s">
        <v>595</v>
      </c>
      <c r="D79" s="599">
        <v>0.85</v>
      </c>
      <c r="E79" s="594"/>
      <c r="F79" s="595"/>
      <c r="H79" s="622">
        <v>8</v>
      </c>
      <c r="I79" s="623" t="str">
        <f>C80</f>
        <v>Zapotrzebowanie na ciepło przed wymianą kotłów</v>
      </c>
      <c r="J79" s="688">
        <f>J77/J78</f>
        <v>66378</v>
      </c>
      <c r="K79" s="623"/>
      <c r="L79" s="689"/>
    </row>
    <row r="80" spans="2:12">
      <c r="B80" s="589">
        <v>9</v>
      </c>
      <c r="C80" s="597" t="s">
        <v>596</v>
      </c>
      <c r="D80" s="596">
        <f>D77/D78</f>
        <v>21528</v>
      </c>
      <c r="E80" s="597" t="s">
        <v>129</v>
      </c>
      <c r="F80" s="598"/>
      <c r="H80" s="622">
        <v>9</v>
      </c>
      <c r="I80" s="594" t="s">
        <v>628</v>
      </c>
      <c r="J80" s="625">
        <f>'Wskaźniki emisji'!G16</f>
        <v>9.4730000000000009E-2</v>
      </c>
      <c r="K80" s="594" t="str">
        <f>E82</f>
        <v>Mg CO2/GJ</v>
      </c>
      <c r="L80" s="595"/>
    </row>
    <row r="81" spans="2:13">
      <c r="B81" s="589">
        <v>10</v>
      </c>
      <c r="C81" s="597" t="s">
        <v>597</v>
      </c>
      <c r="D81" s="600">
        <f>D77/D79</f>
        <v>16462.588235294119</v>
      </c>
      <c r="E81" s="597" t="str">
        <f>E80</f>
        <v>GJ/rok</v>
      </c>
      <c r="F81" s="598"/>
      <c r="H81" s="622">
        <v>10</v>
      </c>
      <c r="I81" s="594" t="s">
        <v>629</v>
      </c>
      <c r="J81" s="606">
        <f>J77*J80</f>
        <v>4087.1921610000009</v>
      </c>
      <c r="K81" s="594" t="str">
        <f>E85</f>
        <v>Mg CO2</v>
      </c>
      <c r="L81" s="595"/>
    </row>
    <row r="82" spans="2:13">
      <c r="B82" s="589">
        <v>11</v>
      </c>
      <c r="C82" s="590" t="s">
        <v>598</v>
      </c>
      <c r="D82" s="601">
        <f>('Wskaźniki emisji subst.'!H10)*0.000001</f>
        <v>9.0999999999999998E-2</v>
      </c>
      <c r="E82" s="590" t="s">
        <v>132</v>
      </c>
      <c r="F82" s="592"/>
      <c r="H82" s="622">
        <v>11</v>
      </c>
      <c r="I82" s="626" t="s">
        <v>630</v>
      </c>
      <c r="J82" s="627">
        <f>'Wskaźniki emisji'!G4</f>
        <v>5.6100000000000004E-2</v>
      </c>
      <c r="K82" s="597" t="str">
        <f>K80</f>
        <v>Mg CO2/GJ</v>
      </c>
      <c r="L82" s="598"/>
    </row>
    <row r="83" spans="2:13">
      <c r="B83" s="589">
        <v>12</v>
      </c>
      <c r="C83" s="590" t="s">
        <v>599</v>
      </c>
      <c r="D83" s="594">
        <f>'Wskaźniki emisji subst.'!E10*0.000001</f>
        <v>4.0400000000000001E-4</v>
      </c>
      <c r="E83" s="594" t="s">
        <v>600</v>
      </c>
      <c r="F83" s="595"/>
      <c r="H83" s="622">
        <v>12</v>
      </c>
      <c r="I83" s="626" t="s">
        <v>631</v>
      </c>
      <c r="J83" s="600">
        <f>J80*J82</f>
        <v>5.3143530000000008E-3</v>
      </c>
      <c r="K83" s="597" t="str">
        <f>K81</f>
        <v>Mg CO2</v>
      </c>
      <c r="L83" s="598"/>
    </row>
    <row r="84" spans="2:13">
      <c r="B84" s="589">
        <v>13</v>
      </c>
      <c r="C84" s="590" t="s">
        <v>601</v>
      </c>
      <c r="D84" s="594">
        <f>'Wskaźniki emisji subst.'!F10*0.000001</f>
        <v>3.9799999999999997E-4</v>
      </c>
      <c r="E84" s="594" t="s">
        <v>602</v>
      </c>
      <c r="F84" s="595"/>
      <c r="H84" s="622">
        <v>13</v>
      </c>
      <c r="I84" s="590" t="s">
        <v>632</v>
      </c>
      <c r="J84" s="628">
        <f>J81-J83</f>
        <v>4087.1868466470009</v>
      </c>
      <c r="K84" s="590" t="str">
        <f>K83</f>
        <v>Mg CO2</v>
      </c>
      <c r="L84" s="592"/>
    </row>
    <row r="85" spans="2:13">
      <c r="B85" s="589">
        <v>14</v>
      </c>
      <c r="C85" s="590" t="s">
        <v>603</v>
      </c>
      <c r="D85" s="602">
        <f>D80*D82</f>
        <v>1959.048</v>
      </c>
      <c r="E85" s="594" t="s">
        <v>121</v>
      </c>
      <c r="F85" s="595"/>
      <c r="H85" s="622">
        <v>14</v>
      </c>
      <c r="I85" s="590" t="s">
        <v>636</v>
      </c>
      <c r="J85" s="629">
        <f>J84*3.6</f>
        <v>14713.872647929204</v>
      </c>
      <c r="K85" s="594" t="s">
        <v>1</v>
      </c>
      <c r="L85" s="595"/>
    </row>
    <row r="86" spans="2:13">
      <c r="B86" s="589">
        <v>15</v>
      </c>
      <c r="C86" s="590" t="s">
        <v>604</v>
      </c>
      <c r="D86" s="603">
        <f>D80*D83</f>
        <v>8.6973120000000002</v>
      </c>
      <c r="E86" s="594" t="s">
        <v>605</v>
      </c>
      <c r="F86" s="595"/>
      <c r="H86" s="622">
        <v>15</v>
      </c>
      <c r="I86" s="590" t="s">
        <v>633</v>
      </c>
      <c r="J86" s="594">
        <v>0.4718</v>
      </c>
      <c r="K86" s="594" t="s">
        <v>634</v>
      </c>
      <c r="L86" s="595"/>
    </row>
    <row r="87" spans="2:13">
      <c r="B87" s="589">
        <v>16</v>
      </c>
      <c r="C87" s="590" t="s">
        <v>606</v>
      </c>
      <c r="D87" s="603">
        <f>D80*D84</f>
        <v>8.5681440000000002</v>
      </c>
      <c r="E87" s="594" t="s">
        <v>607</v>
      </c>
      <c r="F87" s="595"/>
      <c r="H87" s="622">
        <v>16</v>
      </c>
      <c r="I87" s="590" t="s">
        <v>637</v>
      </c>
      <c r="J87" s="594">
        <v>0.4647</v>
      </c>
      <c r="K87" s="594" t="str">
        <f>K86</f>
        <v>kg/m2/rok</v>
      </c>
      <c r="L87" s="595"/>
    </row>
    <row r="88" spans="2:13">
      <c r="B88" s="589">
        <v>17</v>
      </c>
      <c r="C88" s="590" t="s">
        <v>608</v>
      </c>
      <c r="D88" s="604" t="e">
        <f>D80*#REF!</f>
        <v>#REF!</v>
      </c>
      <c r="E88" s="594" t="s">
        <v>609</v>
      </c>
      <c r="F88" s="595"/>
      <c r="H88" s="622">
        <v>17</v>
      </c>
      <c r="I88" s="590" t="s">
        <v>638</v>
      </c>
      <c r="J88" s="602">
        <f>(J73*J75*J86)/1000</f>
        <v>22.693579999999997</v>
      </c>
      <c r="K88" s="594" t="s">
        <v>635</v>
      </c>
      <c r="L88" s="595"/>
    </row>
    <row r="89" spans="2:13">
      <c r="B89" s="589">
        <v>18</v>
      </c>
      <c r="C89" s="590" t="s">
        <v>610</v>
      </c>
      <c r="D89" s="605">
        <f>'Wskaźniki emisji subst.'!H19*0.000001</f>
        <v>9.1999999999999998E-2</v>
      </c>
      <c r="E89" s="594" t="str">
        <f t="shared" ref="E89:E94" si="1">E82</f>
        <v>Mg CO2/GJ</v>
      </c>
      <c r="F89" s="595"/>
      <c r="H89" s="622">
        <v>18</v>
      </c>
      <c r="I89" s="590" t="s">
        <v>639</v>
      </c>
      <c r="J89" s="606">
        <f>(J73*J75*J87)/1000</f>
        <v>22.352070000000001</v>
      </c>
      <c r="K89" s="594" t="str">
        <f>K88</f>
        <v>Mg/rok</v>
      </c>
      <c r="L89" s="595"/>
    </row>
    <row r="90" spans="2:13">
      <c r="B90" s="589">
        <v>19</v>
      </c>
      <c r="C90" s="590" t="s">
        <v>611</v>
      </c>
      <c r="D90" s="594">
        <f>'Wskaźniki emisji subst.'!E19*0.000001</f>
        <v>1.579E-5</v>
      </c>
      <c r="E90" s="594" t="str">
        <f t="shared" si="1"/>
        <v>Mg PM10/GJ</v>
      </c>
      <c r="F90" s="595"/>
      <c r="H90" s="622">
        <v>19</v>
      </c>
      <c r="I90" s="590" t="str">
        <f>C101</f>
        <v xml:space="preserve">Uniknięta emisja CO2 - 2020 r. </v>
      </c>
      <c r="J90" s="606">
        <f>J84/2</f>
        <v>2043.5934233235005</v>
      </c>
      <c r="K90" s="594" t="str">
        <f>K84</f>
        <v>Mg CO2</v>
      </c>
      <c r="L90" s="595"/>
    </row>
    <row r="91" spans="2:13">
      <c r="B91" s="589">
        <v>20</v>
      </c>
      <c r="C91" s="590" t="s">
        <v>612</v>
      </c>
      <c r="D91" s="594">
        <f>'Wskaźniki emisji subst.'!F19*0.000001</f>
        <v>1.5549999999999999E-5</v>
      </c>
      <c r="E91" s="594" t="str">
        <f t="shared" si="1"/>
        <v>PM2.5/GJ</v>
      </c>
      <c r="F91" s="595"/>
      <c r="G91" s="216"/>
      <c r="H91" s="622">
        <v>20</v>
      </c>
      <c r="I91" s="590" t="str">
        <f>C102</f>
        <v xml:space="preserve">uniknięta emisja PM10 - 2020 r. </v>
      </c>
      <c r="J91" s="596">
        <f>J88/2</f>
        <v>11.346789999999999</v>
      </c>
      <c r="K91" s="594" t="str">
        <f>K88</f>
        <v>Mg/rok</v>
      </c>
      <c r="L91" s="595"/>
      <c r="M91" s="216"/>
    </row>
    <row r="92" spans="2:13">
      <c r="B92" s="589">
        <v>21</v>
      </c>
      <c r="C92" s="590" t="s">
        <v>613</v>
      </c>
      <c r="D92" s="606">
        <f>D81*D89</f>
        <v>1514.5581176470589</v>
      </c>
      <c r="E92" s="594" t="str">
        <f t="shared" si="1"/>
        <v>Mg CO2</v>
      </c>
      <c r="F92" s="595"/>
      <c r="G92" s="216"/>
      <c r="H92" s="622">
        <v>21</v>
      </c>
      <c r="I92" s="590" t="str">
        <f>C103</f>
        <v xml:space="preserve">Uniknięta emisja PM2.5 - 2020 r. </v>
      </c>
      <c r="J92" s="606">
        <f>J89/2</f>
        <v>11.176035000000001</v>
      </c>
      <c r="K92" s="594" t="str">
        <f>K91</f>
        <v>Mg/rok</v>
      </c>
      <c r="L92" s="595"/>
      <c r="M92" s="216"/>
    </row>
    <row r="93" spans="2:13">
      <c r="B93" s="589">
        <v>22</v>
      </c>
      <c r="C93" s="590" t="s">
        <v>614</v>
      </c>
      <c r="D93" s="604">
        <f>D81*D90</f>
        <v>0.25994426823529415</v>
      </c>
      <c r="E93" s="594" t="str">
        <f t="shared" si="1"/>
        <v>Mg PM10</v>
      </c>
      <c r="F93" s="595"/>
      <c r="G93" s="216"/>
      <c r="H93" s="622">
        <v>22</v>
      </c>
      <c r="I93" s="590" t="str">
        <f>C104</f>
        <v xml:space="preserve">Oszczędność energii - 2020 r. </v>
      </c>
      <c r="J93" s="629">
        <f>J85/2</f>
        <v>7356.9363239646018</v>
      </c>
      <c r="K93" s="594" t="str">
        <f>K85</f>
        <v>MWh</v>
      </c>
      <c r="L93" s="595"/>
      <c r="M93" s="216"/>
    </row>
    <row r="94" spans="2:13">
      <c r="B94" s="589">
        <v>23</v>
      </c>
      <c r="C94" s="590" t="s">
        <v>615</v>
      </c>
      <c r="D94" s="604">
        <f>D81*D91</f>
        <v>0.25599324705882354</v>
      </c>
      <c r="E94" s="594" t="str">
        <f t="shared" si="1"/>
        <v>Mg PM2.5</v>
      </c>
      <c r="F94" s="595"/>
      <c r="G94" s="216"/>
      <c r="H94" s="589">
        <v>23</v>
      </c>
      <c r="I94" s="590" t="str">
        <f>C99</f>
        <v>Koszt wymiany 1 kotła</v>
      </c>
      <c r="J94" s="629">
        <f>D99</f>
        <v>9000</v>
      </c>
      <c r="K94" s="594" t="str">
        <f>E99</f>
        <v>zł/mieszkanie</v>
      </c>
      <c r="L94" s="595"/>
      <c r="M94" s="216"/>
    </row>
    <row r="95" spans="2:13" ht="15" thickBot="1">
      <c r="B95" s="589">
        <v>24</v>
      </c>
      <c r="C95" s="590" t="s">
        <v>620</v>
      </c>
      <c r="D95" s="606">
        <f>D85-D92</f>
        <v>444.48988235294109</v>
      </c>
      <c r="E95" s="594" t="str">
        <f>E85</f>
        <v>Mg CO2</v>
      </c>
      <c r="F95" s="595"/>
      <c r="G95" s="216"/>
      <c r="H95" s="607">
        <v>24</v>
      </c>
      <c r="I95" s="608" t="str">
        <f>C100</f>
        <v>Łączny koszt inwestycyjny</v>
      </c>
      <c r="J95" s="690">
        <f>J94*J75</f>
        <v>3330000</v>
      </c>
      <c r="K95" s="638"/>
      <c r="L95" s="639"/>
      <c r="M95" s="216"/>
    </row>
    <row r="96" spans="2:13">
      <c r="B96" s="589">
        <v>25</v>
      </c>
      <c r="C96" s="590" t="s">
        <v>621</v>
      </c>
      <c r="D96" s="606">
        <f>D86-D93</f>
        <v>8.4373677317647058</v>
      </c>
      <c r="E96" s="594" t="str">
        <f>E86</f>
        <v>Mg PM10</v>
      </c>
      <c r="F96" s="595"/>
      <c r="G96" s="216"/>
      <c r="H96" s="633"/>
      <c r="I96" s="633"/>
      <c r="J96" s="635"/>
      <c r="K96" s="453"/>
      <c r="L96" s="453"/>
      <c r="M96" s="216"/>
    </row>
    <row r="97" spans="1:14">
      <c r="B97" s="589">
        <v>26</v>
      </c>
      <c r="C97" s="590" t="s">
        <v>622</v>
      </c>
      <c r="D97" s="606">
        <f>D87-D94</f>
        <v>8.3121507529411769</v>
      </c>
      <c r="E97" s="594" t="str">
        <f>E87</f>
        <v>Mg PM2.5</v>
      </c>
      <c r="F97" s="595"/>
      <c r="G97" s="216"/>
      <c r="H97" s="633"/>
      <c r="I97" s="633"/>
      <c r="J97" s="636"/>
      <c r="K97" s="453"/>
      <c r="L97" s="453"/>
      <c r="M97" s="216"/>
    </row>
    <row r="98" spans="1:14">
      <c r="B98" s="589">
        <v>27</v>
      </c>
      <c r="C98" s="590" t="s">
        <v>623</v>
      </c>
      <c r="D98" s="596">
        <f>(D80-D81)/3.6</f>
        <v>1407.0588235294115</v>
      </c>
      <c r="E98" s="594" t="s">
        <v>1</v>
      </c>
      <c r="F98" s="595"/>
      <c r="G98" s="216"/>
      <c r="H98" s="633"/>
      <c r="I98" s="633"/>
      <c r="J98" s="634"/>
      <c r="K98" s="453"/>
      <c r="L98" s="453"/>
      <c r="M98" s="216"/>
    </row>
    <row r="99" spans="1:14">
      <c r="B99" s="589">
        <v>28</v>
      </c>
      <c r="C99" s="590" t="s">
        <v>616</v>
      </c>
      <c r="D99" s="591">
        <v>9000</v>
      </c>
      <c r="E99" s="590" t="s">
        <v>133</v>
      </c>
      <c r="F99" s="592" t="s">
        <v>118</v>
      </c>
      <c r="G99" s="216"/>
      <c r="H99" s="633"/>
      <c r="I99" s="633"/>
      <c r="J99" s="634"/>
      <c r="K99" s="453"/>
      <c r="L99" s="453"/>
      <c r="M99" s="216"/>
    </row>
    <row r="100" spans="1:14">
      <c r="B100" s="589">
        <v>29</v>
      </c>
      <c r="C100" s="590" t="s">
        <v>617</v>
      </c>
      <c r="D100" s="591">
        <f>D75*D99</f>
        <v>1080000</v>
      </c>
      <c r="E100" s="590" t="s">
        <v>123</v>
      </c>
      <c r="F100" s="592"/>
      <c r="G100" s="216"/>
      <c r="H100" s="633"/>
      <c r="I100" s="633"/>
      <c r="J100" s="634"/>
      <c r="K100" s="453"/>
      <c r="L100" s="453"/>
      <c r="M100" s="216"/>
    </row>
    <row r="101" spans="1:14">
      <c r="B101" s="622">
        <v>30</v>
      </c>
      <c r="C101" s="609" t="s">
        <v>619</v>
      </c>
      <c r="D101" s="624">
        <f>D95/2</f>
        <v>222.24494117647055</v>
      </c>
      <c r="E101" s="623" t="str">
        <f>E95</f>
        <v>Mg CO2</v>
      </c>
      <c r="F101" s="615"/>
      <c r="G101" s="216"/>
      <c r="H101" s="633"/>
      <c r="I101" s="633"/>
      <c r="J101" s="636"/>
      <c r="K101" s="453"/>
      <c r="L101" s="453"/>
      <c r="M101" s="216"/>
    </row>
    <row r="102" spans="1:14">
      <c r="B102" s="616">
        <v>31</v>
      </c>
      <c r="C102" s="609" t="s">
        <v>624</v>
      </c>
      <c r="D102" s="610">
        <f>D96/2</f>
        <v>4.2186838658823529</v>
      </c>
      <c r="E102" s="609" t="str">
        <f>E96</f>
        <v>Mg PM10</v>
      </c>
      <c r="F102" s="617"/>
      <c r="G102" s="216"/>
      <c r="H102" s="633"/>
      <c r="I102" s="633"/>
      <c r="J102" s="637"/>
      <c r="K102" s="453"/>
      <c r="L102" s="453"/>
      <c r="M102" s="216"/>
    </row>
    <row r="103" spans="1:14">
      <c r="B103" s="616">
        <v>32</v>
      </c>
      <c r="C103" s="609" t="s">
        <v>625</v>
      </c>
      <c r="D103" s="610">
        <f>D97/2</f>
        <v>4.1560753764705884</v>
      </c>
      <c r="E103" s="609" t="str">
        <f>E97</f>
        <v>Mg PM2.5</v>
      </c>
      <c r="F103" s="617"/>
      <c r="G103" s="216"/>
      <c r="H103" s="633"/>
      <c r="I103" s="633"/>
      <c r="J103" s="560"/>
      <c r="K103" s="633"/>
      <c r="L103" s="633"/>
      <c r="M103" s="216"/>
    </row>
    <row r="104" spans="1:14" ht="15" thickBot="1">
      <c r="B104" s="618">
        <v>33</v>
      </c>
      <c r="C104" s="619" t="s">
        <v>626</v>
      </c>
      <c r="D104" s="620">
        <f>D98/2</f>
        <v>703.52941176470574</v>
      </c>
      <c r="E104" s="619" t="str">
        <f>E98</f>
        <v>MWh</v>
      </c>
      <c r="F104" s="621"/>
      <c r="G104" s="216"/>
      <c r="H104" s="633"/>
      <c r="I104" s="633"/>
      <c r="J104" s="560"/>
      <c r="K104" s="633"/>
      <c r="L104" s="633"/>
      <c r="M104" s="216"/>
    </row>
    <row r="105" spans="1:14">
      <c r="A105" s="216"/>
      <c r="B105" s="219"/>
      <c r="C105" s="216"/>
      <c r="D105" s="216"/>
      <c r="E105" s="216"/>
      <c r="F105" s="216"/>
      <c r="G105" s="216"/>
      <c r="H105" s="216"/>
      <c r="I105" s="219"/>
      <c r="J105" s="632"/>
      <c r="K105" s="216"/>
      <c r="L105" s="184"/>
      <c r="M105" s="216"/>
    </row>
    <row r="106" spans="1:14">
      <c r="A106" s="216"/>
      <c r="B106" s="219"/>
      <c r="C106" s="219"/>
      <c r="D106" s="220"/>
      <c r="E106" s="219"/>
      <c r="F106" s="219"/>
      <c r="G106" s="216"/>
      <c r="H106" s="219"/>
      <c r="I106" s="219"/>
      <c r="J106" s="220"/>
      <c r="K106" s="219"/>
      <c r="L106" s="219"/>
      <c r="M106" s="216"/>
    </row>
    <row r="107" spans="1:14">
      <c r="A107" s="216"/>
      <c r="B107" s="216"/>
      <c r="C107" s="216"/>
      <c r="D107" s="216"/>
      <c r="E107" s="216"/>
      <c r="F107" s="216"/>
      <c r="G107" s="216"/>
      <c r="H107" s="219"/>
      <c r="I107" s="219"/>
      <c r="J107" s="220"/>
      <c r="K107" s="219"/>
      <c r="L107" s="219"/>
      <c r="M107" s="216"/>
      <c r="N107" s="216"/>
    </row>
    <row r="108" spans="1:14">
      <c r="F108" s="216"/>
      <c r="G108" s="216"/>
      <c r="H108" s="219"/>
      <c r="I108" s="219"/>
      <c r="J108" s="630"/>
      <c r="K108" s="219"/>
      <c r="L108" s="219"/>
      <c r="M108" s="216"/>
      <c r="N108" s="216"/>
    </row>
    <row r="109" spans="1:14">
      <c r="F109" s="216"/>
      <c r="G109" s="216"/>
      <c r="H109" s="219"/>
      <c r="I109" s="219"/>
      <c r="J109" s="220"/>
      <c r="K109" s="219"/>
      <c r="L109" s="219"/>
      <c r="M109" s="216"/>
      <c r="N109" s="216"/>
    </row>
    <row r="110" spans="1:14">
      <c r="F110" s="216"/>
      <c r="G110" s="216"/>
      <c r="H110" s="219"/>
      <c r="I110" s="219"/>
      <c r="J110" s="220"/>
      <c r="K110" s="219"/>
      <c r="L110" s="219"/>
      <c r="M110" s="216"/>
      <c r="N110" s="216"/>
    </row>
    <row r="111" spans="1:14">
      <c r="B111" s="219"/>
      <c r="C111" s="219"/>
      <c r="D111" s="220"/>
      <c r="E111" s="219"/>
      <c r="F111" s="219"/>
      <c r="G111" s="216"/>
      <c r="H111" s="219"/>
      <c r="I111" s="219"/>
      <c r="J111" s="220"/>
      <c r="K111" s="219"/>
      <c r="L111" s="219"/>
      <c r="M111" s="216"/>
      <c r="N111" s="216"/>
    </row>
    <row r="112" spans="1:14">
      <c r="B112" s="219"/>
      <c r="C112" s="219"/>
      <c r="D112" s="220"/>
      <c r="E112" s="219"/>
      <c r="F112" s="219"/>
      <c r="G112" s="216"/>
      <c r="H112" s="219"/>
      <c r="I112" s="219"/>
      <c r="J112" s="223"/>
      <c r="K112" s="219"/>
      <c r="L112" s="219"/>
      <c r="M112" s="216"/>
      <c r="N112" s="216"/>
    </row>
    <row r="113" spans="2:14">
      <c r="B113" s="219"/>
      <c r="C113" s="219"/>
      <c r="D113" s="220"/>
      <c r="E113" s="219"/>
      <c r="F113" s="219"/>
      <c r="G113" s="216"/>
      <c r="H113" s="219"/>
      <c r="I113" s="219"/>
      <c r="J113" s="220"/>
      <c r="K113" s="219"/>
      <c r="L113" s="219"/>
      <c r="M113" s="216"/>
      <c r="N113" s="216"/>
    </row>
    <row r="114" spans="2:14">
      <c r="B114" s="219"/>
      <c r="C114" s="219"/>
      <c r="D114" s="220"/>
      <c r="E114" s="219"/>
      <c r="F114" s="219"/>
      <c r="G114" s="216"/>
      <c r="H114" s="219"/>
      <c r="I114" s="219"/>
      <c r="J114" s="220"/>
      <c r="K114" s="219"/>
      <c r="L114" s="219"/>
    </row>
    <row r="115" spans="2:14">
      <c r="B115" s="219"/>
      <c r="C115" s="219"/>
      <c r="D115" s="220"/>
      <c r="E115" s="219"/>
      <c r="F115" s="219"/>
      <c r="G115" s="216"/>
      <c r="H115" s="219"/>
      <c r="I115" s="219"/>
      <c r="J115" s="220"/>
      <c r="K115" s="219"/>
      <c r="L115" s="219"/>
    </row>
    <row r="116" spans="2:14">
      <c r="B116" s="219"/>
      <c r="C116" s="219"/>
      <c r="D116" s="220"/>
      <c r="E116" s="219"/>
      <c r="F116" s="219"/>
      <c r="G116" s="216"/>
      <c r="H116" s="216"/>
    </row>
    <row r="117" spans="2:14">
      <c r="B117" s="216"/>
      <c r="C117" s="216"/>
      <c r="D117" s="216"/>
      <c r="E117" s="216"/>
      <c r="F117" s="216"/>
      <c r="G117" s="216"/>
      <c r="H117" s="216"/>
      <c r="I117" s="184"/>
      <c r="J117" s="216"/>
      <c r="K117" s="216"/>
      <c r="L117" s="216"/>
    </row>
    <row r="118" spans="2:14">
      <c r="B118" s="216"/>
      <c r="C118" s="184"/>
      <c r="D118" s="216"/>
      <c r="E118" s="216"/>
      <c r="F118" s="216"/>
      <c r="G118" s="216"/>
      <c r="H118" s="184"/>
      <c r="I118" s="184"/>
      <c r="J118" s="184"/>
      <c r="K118" s="184"/>
      <c r="L118" s="184"/>
    </row>
    <row r="119" spans="2:14">
      <c r="B119" s="184"/>
      <c r="C119" s="184"/>
      <c r="D119" s="184"/>
      <c r="E119" s="184"/>
      <c r="F119" s="184"/>
      <c r="G119" s="216"/>
      <c r="H119" s="219"/>
      <c r="I119" s="219"/>
      <c r="J119" s="220"/>
      <c r="K119" s="219"/>
      <c r="L119" s="219"/>
    </row>
    <row r="120" spans="2:14">
      <c r="B120" s="219"/>
      <c r="C120" s="219"/>
      <c r="D120" s="220"/>
      <c r="E120" s="219"/>
      <c r="F120" s="219"/>
      <c r="H120" s="219"/>
      <c r="I120" s="219"/>
      <c r="J120" s="223"/>
      <c r="K120" s="219"/>
      <c r="L120" s="219"/>
    </row>
    <row r="121" spans="2:14">
      <c r="B121" s="219"/>
      <c r="C121" s="219"/>
      <c r="D121" s="220"/>
      <c r="E121" s="219"/>
      <c r="F121" s="219"/>
      <c r="H121" s="219"/>
      <c r="I121" s="219"/>
      <c r="J121" s="220"/>
      <c r="K121" s="219"/>
      <c r="L121" s="219"/>
    </row>
    <row r="122" spans="2:14">
      <c r="B122" s="219"/>
      <c r="C122" s="219"/>
      <c r="D122" s="220"/>
      <c r="E122" s="219"/>
      <c r="F122" s="219"/>
      <c r="H122" s="219"/>
      <c r="I122" s="219"/>
      <c r="J122" s="220"/>
      <c r="K122" s="219"/>
      <c r="L122" s="219"/>
    </row>
    <row r="123" spans="2:14">
      <c r="B123" s="219"/>
      <c r="C123" s="224"/>
      <c r="D123" s="225"/>
      <c r="E123" s="219"/>
      <c r="F123" s="219"/>
      <c r="H123" s="219"/>
      <c r="I123" s="219"/>
      <c r="J123" s="220"/>
      <c r="K123" s="219"/>
      <c r="L123" s="219"/>
    </row>
    <row r="124" spans="2:14">
      <c r="B124" s="219"/>
      <c r="C124" s="219"/>
      <c r="D124" s="220"/>
      <c r="E124" s="219"/>
      <c r="F124" s="219"/>
      <c r="H124" s="219"/>
      <c r="I124" s="219"/>
      <c r="J124" s="220"/>
      <c r="K124" s="219"/>
      <c r="L124" s="219"/>
    </row>
    <row r="125" spans="2:14">
      <c r="B125" s="219"/>
      <c r="C125" s="219"/>
      <c r="D125" s="220"/>
      <c r="E125" s="219"/>
      <c r="F125" s="219"/>
      <c r="H125" s="216"/>
      <c r="I125" s="216"/>
      <c r="J125" s="216"/>
      <c r="K125" s="216"/>
      <c r="L125" s="216"/>
    </row>
    <row r="126" spans="2:14">
      <c r="B126" s="219"/>
      <c r="C126" s="219"/>
      <c r="D126" s="220"/>
      <c r="E126" s="219"/>
      <c r="F126" s="219"/>
      <c r="H126" s="216"/>
      <c r="I126" s="184"/>
      <c r="J126" s="216"/>
      <c r="K126" s="216"/>
      <c r="L126" s="216"/>
    </row>
    <row r="127" spans="2:14">
      <c r="B127" s="219"/>
      <c r="C127" s="219"/>
      <c r="D127" s="220"/>
      <c r="E127" s="219"/>
      <c r="F127" s="219"/>
      <c r="H127" s="184"/>
      <c r="I127" s="184"/>
      <c r="J127" s="184"/>
      <c r="K127" s="184"/>
      <c r="L127" s="184"/>
    </row>
    <row r="128" spans="2:14">
      <c r="B128" s="216"/>
      <c r="C128" s="216"/>
      <c r="D128" s="216"/>
      <c r="E128" s="216"/>
      <c r="F128" s="216"/>
      <c r="H128" s="219"/>
      <c r="I128" s="219"/>
      <c r="J128" s="220"/>
      <c r="K128" s="219"/>
      <c r="L128" s="219"/>
    </row>
    <row r="129" spans="2:12">
      <c r="B129" s="216"/>
      <c r="C129" s="184"/>
      <c r="D129" s="216"/>
      <c r="E129" s="216"/>
      <c r="F129" s="216"/>
      <c r="H129" s="219"/>
      <c r="I129" s="219"/>
      <c r="J129" s="223"/>
      <c r="K129" s="219"/>
      <c r="L129" s="219"/>
    </row>
    <row r="130" spans="2:12">
      <c r="B130" s="184"/>
      <c r="C130" s="184"/>
      <c r="D130" s="184"/>
      <c r="E130" s="184"/>
      <c r="F130" s="184"/>
      <c r="H130" s="219"/>
      <c r="I130" s="219"/>
      <c r="J130" s="220"/>
      <c r="K130" s="219"/>
      <c r="L130" s="219"/>
    </row>
    <row r="131" spans="2:12">
      <c r="B131" s="219"/>
      <c r="C131" s="219"/>
      <c r="D131" s="220"/>
      <c r="E131" s="219"/>
      <c r="F131" s="219"/>
      <c r="H131" s="219"/>
      <c r="I131" s="219"/>
      <c r="J131" s="220"/>
      <c r="K131" s="219"/>
      <c r="L131" s="219"/>
    </row>
    <row r="132" spans="2:12">
      <c r="B132" s="219"/>
      <c r="C132" s="219"/>
      <c r="D132" s="220"/>
      <c r="E132" s="219"/>
      <c r="F132" s="219"/>
      <c r="H132" s="219"/>
      <c r="I132" s="219"/>
      <c r="J132" s="220"/>
      <c r="K132" s="219"/>
      <c r="L132" s="219"/>
    </row>
    <row r="133" spans="2:12">
      <c r="B133" s="219"/>
      <c r="C133" s="219"/>
      <c r="D133" s="223"/>
      <c r="E133" s="219"/>
      <c r="F133" s="219"/>
      <c r="H133" s="219"/>
      <c r="I133" s="219"/>
      <c r="J133" s="220"/>
      <c r="K133" s="219"/>
      <c r="L133" s="219"/>
    </row>
    <row r="134" spans="2:12">
      <c r="B134" s="219"/>
      <c r="C134" s="219"/>
      <c r="D134" s="223"/>
      <c r="E134" s="219"/>
      <c r="F134" s="219"/>
      <c r="H134" s="216"/>
      <c r="I134" s="216"/>
      <c r="J134" s="216"/>
      <c r="K134" s="216"/>
      <c r="L134" s="216"/>
    </row>
    <row r="135" spans="2:12">
      <c r="B135" s="219"/>
      <c r="C135" s="224"/>
      <c r="D135" s="225"/>
      <c r="E135" s="219"/>
      <c r="F135" s="219"/>
      <c r="H135" s="216"/>
      <c r="I135" s="184"/>
      <c r="J135" s="216"/>
      <c r="K135" s="216"/>
      <c r="L135" s="216"/>
    </row>
    <row r="136" spans="2:12">
      <c r="B136" s="219"/>
      <c r="C136" s="219"/>
      <c r="D136" s="220"/>
      <c r="E136" s="219"/>
      <c r="F136" s="219"/>
      <c r="H136" s="184"/>
      <c r="I136" s="184"/>
      <c r="J136" s="184"/>
      <c r="K136" s="184"/>
      <c r="L136" s="184"/>
    </row>
    <row r="137" spans="2:12">
      <c r="B137" s="219"/>
      <c r="C137" s="219"/>
      <c r="D137" s="220"/>
      <c r="E137" s="219"/>
      <c r="F137" s="219"/>
      <c r="H137" s="219"/>
      <c r="I137" s="219"/>
      <c r="J137" s="220"/>
      <c r="K137" s="219"/>
      <c r="L137" s="219"/>
    </row>
    <row r="138" spans="2:12">
      <c r="B138" s="216"/>
      <c r="C138" s="216"/>
      <c r="D138" s="216"/>
      <c r="E138" s="216"/>
      <c r="F138" s="216"/>
      <c r="H138" s="219"/>
      <c r="I138" s="219"/>
      <c r="J138" s="223"/>
      <c r="K138" s="219"/>
      <c r="L138" s="219"/>
    </row>
    <row r="139" spans="2:12">
      <c r="B139" s="216"/>
      <c r="C139" s="184"/>
      <c r="D139" s="216"/>
      <c r="E139" s="216"/>
      <c r="F139" s="216"/>
      <c r="H139" s="219"/>
      <c r="I139" s="219"/>
      <c r="J139" s="220"/>
      <c r="K139" s="219"/>
      <c r="L139" s="219"/>
    </row>
    <row r="140" spans="2:12">
      <c r="B140" s="184"/>
      <c r="C140" s="184"/>
      <c r="D140" s="184"/>
      <c r="E140" s="184"/>
      <c r="F140" s="184"/>
      <c r="H140" s="219"/>
      <c r="I140" s="219"/>
      <c r="J140" s="220"/>
      <c r="K140" s="219"/>
      <c r="L140" s="219"/>
    </row>
    <row r="141" spans="2:12">
      <c r="B141" s="219"/>
      <c r="C141" s="219"/>
      <c r="D141" s="220"/>
      <c r="E141" s="219"/>
      <c r="F141" s="219"/>
      <c r="H141" s="219"/>
      <c r="I141" s="219"/>
      <c r="J141" s="220"/>
      <c r="K141" s="219"/>
      <c r="L141" s="219"/>
    </row>
    <row r="142" spans="2:12">
      <c r="B142" s="219"/>
      <c r="C142" s="219"/>
      <c r="D142" s="220"/>
      <c r="E142" s="219"/>
      <c r="F142" s="219"/>
      <c r="H142" s="219"/>
      <c r="I142" s="219"/>
      <c r="J142" s="223"/>
      <c r="K142" s="219"/>
      <c r="L142" s="219"/>
    </row>
    <row r="143" spans="2:12">
      <c r="B143" s="219"/>
      <c r="C143" s="219"/>
      <c r="D143" s="220"/>
      <c r="E143" s="219"/>
      <c r="F143" s="219"/>
      <c r="H143" s="219"/>
      <c r="I143" s="219"/>
      <c r="J143" s="220"/>
      <c r="K143" s="219"/>
      <c r="L143" s="219"/>
    </row>
    <row r="144" spans="2:12">
      <c r="B144" s="219"/>
      <c r="C144" s="219"/>
      <c r="D144" s="223"/>
      <c r="E144" s="219"/>
      <c r="F144" s="219"/>
      <c r="H144" s="219"/>
      <c r="I144" s="219"/>
      <c r="J144" s="220"/>
      <c r="K144" s="219"/>
      <c r="L144" s="219"/>
    </row>
    <row r="145" spans="2:12">
      <c r="B145" s="219"/>
      <c r="C145" s="224"/>
      <c r="D145" s="225"/>
      <c r="E145" s="219"/>
      <c r="F145" s="219"/>
      <c r="H145" s="219"/>
      <c r="I145" s="219"/>
      <c r="J145" s="220"/>
      <c r="K145" s="219"/>
      <c r="L145" s="219"/>
    </row>
    <row r="146" spans="2:12">
      <c r="B146" s="219"/>
      <c r="C146" s="219"/>
      <c r="D146" s="220"/>
      <c r="E146" s="219"/>
      <c r="F146" s="219"/>
      <c r="H146" s="216"/>
      <c r="I146" s="216"/>
      <c r="J146" s="216"/>
      <c r="K146" s="216"/>
      <c r="L146" s="216"/>
    </row>
    <row r="147" spans="2:12">
      <c r="B147" s="219"/>
      <c r="C147" s="219"/>
      <c r="D147" s="220"/>
      <c r="E147" s="219"/>
      <c r="F147" s="219"/>
      <c r="H147" s="216"/>
      <c r="I147" s="184"/>
      <c r="J147" s="216"/>
      <c r="K147" s="216"/>
      <c r="L147" s="216"/>
    </row>
    <row r="148" spans="2:12">
      <c r="B148" s="216"/>
      <c r="C148" s="216"/>
      <c r="D148" s="216"/>
      <c r="E148" s="216"/>
      <c r="F148" s="216"/>
      <c r="H148" s="184"/>
      <c r="I148" s="184"/>
      <c r="J148" s="184"/>
      <c r="K148" s="184"/>
      <c r="L148" s="184"/>
    </row>
    <row r="149" spans="2:12">
      <c r="B149" s="216"/>
      <c r="C149" s="184"/>
      <c r="D149" s="216"/>
      <c r="E149" s="216"/>
      <c r="F149" s="216"/>
      <c r="H149" s="219"/>
      <c r="I149" s="219"/>
      <c r="J149" s="220"/>
      <c r="K149" s="219"/>
      <c r="L149" s="219"/>
    </row>
    <row r="150" spans="2:12">
      <c r="B150" s="184"/>
      <c r="C150" s="184"/>
      <c r="D150" s="184"/>
      <c r="E150" s="184"/>
      <c r="F150" s="184"/>
      <c r="H150" s="219"/>
      <c r="I150" s="219"/>
      <c r="J150" s="223"/>
      <c r="K150" s="219"/>
      <c r="L150" s="219"/>
    </row>
    <row r="151" spans="2:12">
      <c r="B151" s="219"/>
      <c r="C151" s="219"/>
      <c r="D151" s="220"/>
      <c r="E151" s="219"/>
      <c r="F151" s="219"/>
      <c r="H151" s="219"/>
      <c r="I151" s="219"/>
      <c r="J151" s="220"/>
      <c r="K151" s="219"/>
      <c r="L151" s="219"/>
    </row>
    <row r="152" spans="2:12">
      <c r="B152" s="219"/>
      <c r="C152" s="219"/>
      <c r="D152" s="220"/>
      <c r="E152" s="219"/>
      <c r="F152" s="219"/>
      <c r="H152" s="219"/>
      <c r="I152" s="219"/>
      <c r="J152" s="223"/>
      <c r="K152" s="219"/>
      <c r="L152" s="219"/>
    </row>
    <row r="153" spans="2:12">
      <c r="B153" s="219"/>
      <c r="C153" s="219"/>
      <c r="D153" s="220"/>
      <c r="E153" s="219"/>
      <c r="F153" s="219"/>
      <c r="H153" s="219"/>
      <c r="I153" s="219"/>
      <c r="J153" s="220"/>
      <c r="K153" s="219"/>
      <c r="L153" s="219"/>
    </row>
    <row r="154" spans="2:12">
      <c r="B154" s="219"/>
      <c r="C154" s="219"/>
      <c r="D154" s="223"/>
      <c r="E154" s="219"/>
      <c r="F154" s="219"/>
      <c r="H154" s="219"/>
      <c r="I154" s="219"/>
      <c r="J154" s="220"/>
      <c r="K154" s="219"/>
      <c r="L154" s="219"/>
    </row>
    <row r="155" spans="2:12">
      <c r="B155" s="219"/>
      <c r="C155" s="224"/>
      <c r="D155" s="225"/>
      <c r="E155" s="219"/>
      <c r="F155" s="219"/>
      <c r="H155" s="216"/>
      <c r="I155" s="216"/>
      <c r="J155" s="216"/>
      <c r="K155" s="216"/>
      <c r="L155" s="216"/>
    </row>
    <row r="156" spans="2:12">
      <c r="B156" s="219"/>
      <c r="C156" s="219"/>
      <c r="D156" s="226"/>
      <c r="E156" s="219"/>
      <c r="F156" s="219"/>
      <c r="H156" s="216"/>
      <c r="I156" s="184"/>
      <c r="J156" s="216"/>
      <c r="K156" s="216"/>
      <c r="L156" s="216"/>
    </row>
    <row r="157" spans="2:12">
      <c r="B157" s="219"/>
      <c r="C157" s="219"/>
      <c r="D157" s="220"/>
      <c r="E157" s="219"/>
      <c r="F157" s="219"/>
      <c r="H157" s="184"/>
      <c r="I157" s="184"/>
      <c r="J157" s="184"/>
      <c r="K157" s="184"/>
      <c r="L157" s="184"/>
    </row>
    <row r="158" spans="2:12">
      <c r="B158" s="219"/>
      <c r="C158" s="219"/>
      <c r="D158" s="220"/>
      <c r="E158" s="219"/>
      <c r="F158" s="219"/>
      <c r="H158" s="219"/>
      <c r="I158" s="219"/>
      <c r="J158" s="220"/>
      <c r="K158" s="219"/>
      <c r="L158" s="219"/>
    </row>
    <row r="159" spans="2:12">
      <c r="B159" s="219"/>
      <c r="C159" s="219"/>
      <c r="D159" s="220"/>
      <c r="E159" s="219"/>
      <c r="F159" s="219"/>
      <c r="H159" s="219"/>
      <c r="I159" s="219"/>
      <c r="J159" s="223"/>
      <c r="K159" s="219"/>
      <c r="L159" s="219"/>
    </row>
    <row r="160" spans="2:12">
      <c r="B160" s="219"/>
      <c r="C160" s="219"/>
      <c r="D160" s="223"/>
      <c r="E160" s="219"/>
      <c r="F160" s="219"/>
      <c r="H160" s="219"/>
      <c r="I160" s="219"/>
      <c r="J160" s="220"/>
      <c r="K160" s="219"/>
      <c r="L160" s="219"/>
    </row>
    <row r="161" spans="2:12">
      <c r="B161" s="219"/>
      <c r="C161" s="224"/>
      <c r="D161" s="225"/>
      <c r="E161" s="219"/>
      <c r="F161" s="219"/>
      <c r="H161" s="219"/>
      <c r="I161" s="219"/>
      <c r="J161" s="223"/>
      <c r="K161" s="219"/>
      <c r="L161" s="219"/>
    </row>
    <row r="162" spans="2:12">
      <c r="B162" s="219"/>
      <c r="C162" s="224"/>
      <c r="D162" s="225"/>
      <c r="E162" s="219"/>
      <c r="F162" s="219"/>
      <c r="H162" s="219"/>
      <c r="I162" s="219"/>
      <c r="J162" s="220"/>
      <c r="K162" s="219"/>
      <c r="L162" s="219"/>
    </row>
    <row r="163" spans="2:12">
      <c r="B163" s="219"/>
      <c r="C163" s="219"/>
      <c r="D163" s="220"/>
      <c r="E163" s="219"/>
      <c r="F163" s="219"/>
      <c r="H163" s="219"/>
      <c r="I163" s="219"/>
      <c r="J163" s="220"/>
      <c r="K163" s="219"/>
      <c r="L163" s="219"/>
    </row>
    <row r="164" spans="2:12">
      <c r="B164" s="219"/>
      <c r="C164" s="219"/>
      <c r="D164" s="220"/>
      <c r="E164" s="219"/>
      <c r="F164" s="219"/>
      <c r="H164" s="216"/>
      <c r="I164" s="216"/>
      <c r="J164" s="216"/>
      <c r="K164" s="216"/>
      <c r="L164" s="216"/>
    </row>
    <row r="165" spans="2:12">
      <c r="B165" s="216"/>
      <c r="C165" s="216"/>
      <c r="D165" s="216"/>
      <c r="E165" s="216"/>
      <c r="F165" s="216"/>
      <c r="H165" s="216"/>
      <c r="I165" s="184"/>
      <c r="J165" s="216"/>
      <c r="K165" s="216"/>
      <c r="L165" s="216"/>
    </row>
    <row r="166" spans="2:12">
      <c r="B166" s="216"/>
      <c r="C166" s="184"/>
      <c r="D166" s="216"/>
      <c r="E166" s="216"/>
      <c r="F166" s="216"/>
      <c r="H166" s="184"/>
      <c r="I166" s="184"/>
      <c r="J166" s="184"/>
      <c r="K166" s="184"/>
      <c r="L166" s="184"/>
    </row>
    <row r="167" spans="2:12">
      <c r="B167" s="184"/>
      <c r="C167" s="184"/>
      <c r="D167" s="184"/>
      <c r="E167" s="184"/>
      <c r="F167" s="184"/>
      <c r="H167" s="219"/>
      <c r="I167" s="219"/>
      <c r="J167" s="220"/>
      <c r="K167" s="219"/>
      <c r="L167" s="219"/>
    </row>
    <row r="168" spans="2:12">
      <c r="B168" s="219"/>
      <c r="C168" s="219"/>
      <c r="D168" s="220"/>
      <c r="E168" s="219"/>
      <c r="F168" s="219"/>
      <c r="H168" s="219"/>
      <c r="I168" s="219"/>
      <c r="J168" s="220"/>
      <c r="K168" s="219"/>
      <c r="L168" s="219"/>
    </row>
    <row r="169" spans="2:12">
      <c r="B169" s="219"/>
      <c r="C169" s="219"/>
      <c r="D169" s="220"/>
      <c r="E169" s="219"/>
      <c r="F169" s="219"/>
      <c r="H169" s="219"/>
      <c r="I169" s="219"/>
      <c r="J169" s="220"/>
      <c r="K169" s="219"/>
      <c r="L169" s="219"/>
    </row>
    <row r="170" spans="2:12">
      <c r="B170" s="219"/>
      <c r="C170" s="219"/>
      <c r="D170" s="220"/>
      <c r="E170" s="219"/>
      <c r="F170" s="219"/>
      <c r="H170" s="219"/>
      <c r="I170" s="219"/>
      <c r="J170" s="223"/>
      <c r="K170" s="219"/>
      <c r="L170" s="219"/>
    </row>
    <row r="171" spans="2:12">
      <c r="B171" s="219"/>
      <c r="C171" s="219"/>
      <c r="D171" s="223"/>
      <c r="E171" s="219"/>
      <c r="F171" s="219"/>
      <c r="H171" s="219"/>
      <c r="I171" s="219"/>
      <c r="J171" s="226"/>
      <c r="K171" s="219"/>
      <c r="L171" s="219"/>
    </row>
    <row r="172" spans="2:12">
      <c r="B172" s="219"/>
      <c r="C172" s="224"/>
      <c r="D172" s="223"/>
      <c r="E172" s="219"/>
      <c r="F172" s="219"/>
      <c r="H172" s="219"/>
      <c r="I172" s="219"/>
      <c r="J172" s="220"/>
      <c r="K172" s="219"/>
      <c r="L172" s="219"/>
    </row>
    <row r="173" spans="2:12">
      <c r="B173" s="219"/>
      <c r="C173" s="224"/>
      <c r="D173" s="225"/>
      <c r="E173" s="219"/>
      <c r="F173" s="219"/>
      <c r="H173" s="219"/>
      <c r="I173" s="219"/>
      <c r="J173" s="220"/>
      <c r="K173" s="219"/>
      <c r="L173" s="219"/>
    </row>
    <row r="174" spans="2:12">
      <c r="B174" s="219"/>
      <c r="C174" s="219"/>
      <c r="D174" s="220"/>
      <c r="E174" s="219"/>
      <c r="F174" s="219"/>
      <c r="H174" s="219"/>
      <c r="I174" s="219"/>
      <c r="J174" s="220"/>
      <c r="K174" s="219"/>
      <c r="L174" s="219"/>
    </row>
    <row r="175" spans="2:12">
      <c r="B175" s="219"/>
      <c r="C175" s="219"/>
      <c r="D175" s="220"/>
      <c r="E175" s="219"/>
      <c r="F175" s="219"/>
      <c r="H175" s="219"/>
      <c r="I175" s="219"/>
      <c r="J175" s="220"/>
      <c r="K175" s="219"/>
      <c r="L175" s="219"/>
    </row>
    <row r="176" spans="2:12">
      <c r="B176" s="216"/>
      <c r="C176" s="216"/>
      <c r="D176" s="216"/>
      <c r="E176" s="216"/>
      <c r="F176" s="216"/>
    </row>
    <row r="177" spans="2:6">
      <c r="B177" s="216"/>
      <c r="C177" s="184"/>
      <c r="D177" s="216"/>
      <c r="E177" s="216"/>
      <c r="F177" s="216"/>
    </row>
    <row r="178" spans="2:6">
      <c r="B178" s="184"/>
      <c r="C178" s="184"/>
      <c r="D178" s="184"/>
      <c r="E178" s="184"/>
      <c r="F178" s="184"/>
    </row>
    <row r="179" spans="2:6">
      <c r="B179" s="219"/>
      <c r="C179" s="219"/>
      <c r="D179" s="220"/>
      <c r="E179" s="219"/>
      <c r="F179" s="219"/>
    </row>
    <row r="180" spans="2:6">
      <c r="B180" s="219"/>
      <c r="C180" s="219"/>
      <c r="D180" s="220"/>
      <c r="E180" s="219"/>
      <c r="F180" s="219"/>
    </row>
    <row r="181" spans="2:6">
      <c r="B181" s="219"/>
      <c r="C181" s="219"/>
      <c r="D181" s="220"/>
      <c r="E181" s="219"/>
      <c r="F181" s="219"/>
    </row>
    <row r="182" spans="2:6">
      <c r="B182" s="219"/>
      <c r="C182" s="219"/>
      <c r="D182" s="223"/>
      <c r="E182" s="219"/>
      <c r="F182" s="219"/>
    </row>
    <row r="183" spans="2:6">
      <c r="B183" s="219"/>
      <c r="C183" s="219"/>
      <c r="D183" s="226"/>
      <c r="E183" s="219"/>
      <c r="F183" s="219"/>
    </row>
    <row r="184" spans="2:6">
      <c r="B184" s="219"/>
      <c r="C184" s="219"/>
      <c r="D184" s="220"/>
      <c r="E184" s="219"/>
      <c r="F184" s="219"/>
    </row>
    <row r="185" spans="2:6">
      <c r="B185" s="219"/>
      <c r="C185" s="219"/>
      <c r="D185" s="220"/>
      <c r="E185" s="219"/>
      <c r="F185" s="219"/>
    </row>
    <row r="186" spans="2:6">
      <c r="B186" s="219"/>
      <c r="C186" s="219"/>
      <c r="D186" s="220"/>
      <c r="E186" s="219"/>
      <c r="F186" s="219"/>
    </row>
    <row r="187" spans="2:6">
      <c r="B187" s="219"/>
      <c r="C187" s="219"/>
      <c r="D187" s="220"/>
      <c r="E187" s="219"/>
      <c r="F187" s="219"/>
    </row>
  </sheetData>
  <mergeCells count="11">
    <mergeCell ref="C70:F70"/>
    <mergeCell ref="I70:L70"/>
    <mergeCell ref="B53:F53"/>
    <mergeCell ref="H53:L53"/>
    <mergeCell ref="B2:L2"/>
    <mergeCell ref="C4:F4"/>
    <mergeCell ref="I5:L5"/>
    <mergeCell ref="C20:F20"/>
    <mergeCell ref="I20:L20"/>
    <mergeCell ref="I37:L37"/>
    <mergeCell ref="C5:F5"/>
  </mergeCells>
  <pageMargins left="0.7" right="0.7" top="0.75" bottom="0.75" header="0.3" footer="0.3"/>
  <pageSetup paperSize="9" scale="3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view="pageBreakPreview" topLeftCell="D1" zoomScale="78" zoomScaleNormal="100" zoomScaleSheetLayoutView="78" workbookViewId="0">
      <selection activeCell="I16" sqref="I16"/>
    </sheetView>
  </sheetViews>
  <sheetFormatPr defaultRowHeight="13.8"/>
  <cols>
    <col min="1" max="1" width="8.88671875" style="23"/>
    <col min="2" max="2" width="15.77734375" style="23" customWidth="1"/>
    <col min="3" max="6" width="17.21875" style="23" customWidth="1"/>
    <col min="7" max="7" width="16.88671875" style="23" customWidth="1"/>
    <col min="8" max="9" width="15.109375" style="23" customWidth="1"/>
    <col min="10" max="16384" width="8.88671875" style="23"/>
  </cols>
  <sheetData>
    <row r="1" spans="1:11" ht="14.4" thickBot="1"/>
    <row r="2" spans="1:11" ht="15" thickBot="1">
      <c r="A2" s="916" t="s">
        <v>145</v>
      </c>
      <c r="B2" s="917"/>
      <c r="C2" s="917"/>
      <c r="D2" s="917"/>
      <c r="E2" s="917"/>
      <c r="F2" s="917"/>
      <c r="G2" s="917"/>
      <c r="H2" s="917"/>
      <c r="I2" s="918"/>
    </row>
    <row r="3" spans="1:11" ht="14.4" thickBot="1"/>
    <row r="4" spans="1:11" ht="83.4" thickBot="1">
      <c r="B4" s="227"/>
      <c r="C4" s="228" t="s">
        <v>146</v>
      </c>
      <c r="D4" s="487" t="s">
        <v>294</v>
      </c>
      <c r="E4" s="487" t="s">
        <v>285</v>
      </c>
      <c r="F4" s="487" t="str">
        <f>I4</f>
        <v>% zmian w stosunku do roku bazowego</v>
      </c>
      <c r="G4" s="229" t="s">
        <v>274</v>
      </c>
      <c r="H4" s="229" t="s">
        <v>280</v>
      </c>
      <c r="I4" s="230" t="s">
        <v>147</v>
      </c>
    </row>
    <row r="5" spans="1:11" ht="42.75" customHeight="1">
      <c r="B5" s="231" t="s">
        <v>148</v>
      </c>
      <c r="C5" s="232">
        <f>'Emisja CO2 - sektory SEAP'!J14</f>
        <v>45098.068073281371</v>
      </c>
      <c r="D5" s="232">
        <f>Bilans!D9</f>
        <v>46847.888720142364</v>
      </c>
      <c r="E5" s="232">
        <f>D5-Działania!I29</f>
        <v>43790.192820642391</v>
      </c>
      <c r="F5" s="507">
        <f>(C5-E5)/C5</f>
        <v>2.9000693566601773E-2</v>
      </c>
      <c r="G5" s="233">
        <f>'Emisja CO2 - sektory SEAP'!J27</f>
        <v>46865.270979665278</v>
      </c>
      <c r="H5" s="233" t="e">
        <f>G5-Działania!I28</f>
        <v>#REF!</v>
      </c>
      <c r="I5" s="234" t="e">
        <f>(C5-H5)/C5</f>
        <v>#REF!</v>
      </c>
      <c r="K5" s="235"/>
    </row>
    <row r="6" spans="1:11" ht="45" customHeight="1">
      <c r="B6" s="236" t="s">
        <v>149</v>
      </c>
      <c r="C6" s="237">
        <f>'Zużycie energii -sektory SEAP'!J14</f>
        <v>126811.46352612098</v>
      </c>
      <c r="D6" s="237">
        <f>Bilans!D10</f>
        <v>130165.55446559819</v>
      </c>
      <c r="E6" s="237">
        <f>D6-Działania!H29</f>
        <v>119775.47704634287</v>
      </c>
      <c r="F6" s="508">
        <f>(C6-E6)/C6</f>
        <v>5.5483836272647483E-2</v>
      </c>
      <c r="G6" s="238">
        <f>'Zużycie energii -sektory SEAP'!J26</f>
        <v>132633.4903763996</v>
      </c>
      <c r="H6" s="238">
        <f>G6-Działania!H28</f>
        <v>111658.65572649696</v>
      </c>
      <c r="I6" s="239">
        <f>(C6-H6)/C6</f>
        <v>0.11949083606706266</v>
      </c>
      <c r="K6" s="235"/>
    </row>
    <row r="7" spans="1:11" ht="39" customHeight="1">
      <c r="B7" s="236" t="s">
        <v>150</v>
      </c>
      <c r="C7" s="237">
        <f>'Zużycie energii -sektory SEAP'!I8</f>
        <v>6396.2989458333341</v>
      </c>
      <c r="D7" s="237">
        <f>'Sektor mieszkaniowy'!G63</f>
        <v>6664.7448833333337</v>
      </c>
      <c r="E7" s="237">
        <f>D7+Działania!J29</f>
        <v>7131.9948833333337</v>
      </c>
      <c r="F7" s="508"/>
      <c r="G7" s="238">
        <f>'Zużycie energii -sektory SEAP'!I20</f>
        <v>6873.4655708333339</v>
      </c>
      <c r="H7" s="238">
        <f>G7+Działania!J28</f>
        <v>7974.7155708333339</v>
      </c>
      <c r="I7" s="240" t="s">
        <v>19</v>
      </c>
      <c r="K7" s="235"/>
    </row>
    <row r="8" spans="1:11" ht="41.4">
      <c r="B8" s="236" t="s">
        <v>151</v>
      </c>
      <c r="C8" s="241">
        <f>C7/C6</f>
        <v>5.0439437949675633E-2</v>
      </c>
      <c r="D8" s="241">
        <f>D7/D6</f>
        <v>5.1202062716943886E-2</v>
      </c>
      <c r="E8" s="241">
        <f>E7/E6</f>
        <v>5.9544700294317021E-2</v>
      </c>
      <c r="F8" s="508">
        <f>E8-D8</f>
        <v>8.3426375773731354E-3</v>
      </c>
      <c r="G8" s="242">
        <f>G7/G6</f>
        <v>5.18230015008063E-2</v>
      </c>
      <c r="H8" s="242">
        <f>H7/H6</f>
        <v>7.1420487009686506E-2</v>
      </c>
      <c r="I8" s="239">
        <f>H8-C8</f>
        <v>2.0981049060010873E-2</v>
      </c>
    </row>
  </sheetData>
  <mergeCells count="1">
    <mergeCell ref="A2:I2"/>
  </mergeCells>
  <pageMargins left="0.7" right="0.7" top="0.75" bottom="0.75" header="0.3" footer="0.3"/>
  <pageSetup paperSize="9" scale="6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view="pageBreakPreview" zoomScale="99" zoomScaleNormal="100" zoomScaleSheetLayoutView="99" workbookViewId="0">
      <selection activeCell="I8" sqref="I8"/>
    </sheetView>
  </sheetViews>
  <sheetFormatPr defaultRowHeight="13.8"/>
  <cols>
    <col min="1" max="1" width="8.88671875" style="23"/>
    <col min="2" max="2" width="15.5546875" style="23" customWidth="1"/>
    <col min="3" max="4" width="8.88671875" style="23"/>
    <col min="5" max="5" width="11.33203125" style="23" customWidth="1"/>
    <col min="6" max="16384" width="8.88671875" style="23"/>
  </cols>
  <sheetData>
    <row r="1" spans="1:10" ht="14.4" thickBot="1">
      <c r="I1" s="24"/>
      <c r="J1" s="24"/>
    </row>
    <row r="2" spans="1:10" ht="18" customHeight="1" thickBot="1">
      <c r="A2" s="919"/>
      <c r="B2" s="920"/>
      <c r="C2" s="920"/>
      <c r="D2" s="920"/>
      <c r="E2" s="920"/>
      <c r="F2" s="920"/>
      <c r="G2" s="920"/>
      <c r="H2" s="921"/>
      <c r="I2" s="251"/>
      <c r="J2" s="24"/>
    </row>
    <row r="3" spans="1:10">
      <c r="I3" s="24"/>
      <c r="J3" s="24"/>
    </row>
    <row r="4" spans="1:10" ht="14.4" thickBot="1">
      <c r="I4" s="24"/>
      <c r="J4" s="24"/>
    </row>
    <row r="5" spans="1:10" ht="15" thickBot="1">
      <c r="B5" s="922" t="s">
        <v>152</v>
      </c>
      <c r="C5" s="923"/>
      <c r="D5" s="923"/>
      <c r="E5" s="923"/>
      <c r="F5" s="923"/>
      <c r="G5" s="924"/>
      <c r="I5" s="24"/>
      <c r="J5" s="24"/>
    </row>
    <row r="6" spans="1:10" ht="42" customHeight="1" thickTop="1">
      <c r="B6" s="925" t="s">
        <v>153</v>
      </c>
      <c r="C6" s="925" t="s">
        <v>109</v>
      </c>
      <c r="D6" s="925" t="s">
        <v>154</v>
      </c>
      <c r="E6" s="925" t="s">
        <v>283</v>
      </c>
      <c r="F6" s="925" t="s">
        <v>155</v>
      </c>
      <c r="G6" s="925" t="s">
        <v>156</v>
      </c>
    </row>
    <row r="7" spans="1:10" ht="38.4" customHeight="1" thickBot="1">
      <c r="B7" s="926"/>
      <c r="C7" s="926"/>
      <c r="D7" s="926"/>
      <c r="E7" s="926"/>
      <c r="F7" s="926"/>
      <c r="G7" s="926"/>
    </row>
    <row r="8" spans="1:10" ht="42" thickBot="1">
      <c r="B8" s="243" t="s">
        <v>157</v>
      </c>
      <c r="C8" s="244" t="s">
        <v>158</v>
      </c>
      <c r="D8" s="245">
        <f>'Emisja CO2 - sektory SEAP'!J14</f>
        <v>45098.068073281371</v>
      </c>
      <c r="E8" s="246" t="e">
        <f>'Planowane rezultaty'!H5</f>
        <v>#REF!</v>
      </c>
      <c r="F8" s="246" t="e">
        <f>D8-E8</f>
        <v>#REF!</v>
      </c>
      <c r="G8" s="244" t="s">
        <v>159</v>
      </c>
    </row>
    <row r="9" spans="1:10" ht="28.2" thickBot="1">
      <c r="B9" s="243" t="s">
        <v>160</v>
      </c>
      <c r="C9" s="244" t="s">
        <v>95</v>
      </c>
      <c r="D9" s="245">
        <f>'Zużycie energii -sektory SEAP'!J14</f>
        <v>126811.46352612098</v>
      </c>
      <c r="E9" s="245">
        <f>'Planowane rezultaty'!H6</f>
        <v>111658.65572649696</v>
      </c>
      <c r="F9" s="245">
        <f>D9-E9</f>
        <v>15152.807799624017</v>
      </c>
      <c r="G9" s="244" t="s">
        <v>159</v>
      </c>
    </row>
    <row r="10" spans="1:10" ht="28.2" thickBot="1">
      <c r="B10" s="243" t="s">
        <v>161</v>
      </c>
      <c r="C10" s="244" t="s">
        <v>95</v>
      </c>
      <c r="D10" s="246">
        <f>'Planowane rezultaty'!C7</f>
        <v>6396.2989458333341</v>
      </c>
      <c r="E10" s="246">
        <f>'Planowane rezultaty'!H7</f>
        <v>7974.7155708333339</v>
      </c>
      <c r="F10" s="246">
        <f>E10-D10</f>
        <v>1578.4166249999998</v>
      </c>
      <c r="G10" s="244" t="s">
        <v>162</v>
      </c>
    </row>
  </sheetData>
  <mergeCells count="8">
    <mergeCell ref="A2:H2"/>
    <mergeCell ref="B5:G5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6"/>
  <sheetViews>
    <sheetView showGridLines="0" view="pageBreakPreview" topLeftCell="A55" zoomScale="78" zoomScaleNormal="100" zoomScaleSheetLayoutView="78" workbookViewId="0">
      <selection activeCell="M21" sqref="M21"/>
    </sheetView>
  </sheetViews>
  <sheetFormatPr defaultRowHeight="14.4"/>
  <cols>
    <col min="1" max="1" width="8.88671875" style="580"/>
    <col min="2" max="2" width="45.6640625" style="580" customWidth="1"/>
    <col min="3" max="3" width="16.44140625" style="580" customWidth="1"/>
    <col min="4" max="4" width="15.33203125" style="580" customWidth="1"/>
    <col min="5" max="5" width="15.88671875" style="580" customWidth="1"/>
    <col min="6" max="6" width="17.6640625" style="580" customWidth="1"/>
    <col min="7" max="7" width="14.44140625" style="580" customWidth="1"/>
    <col min="8" max="8" width="16" style="580" customWidth="1"/>
    <col min="9" max="9" width="15.88671875" style="580" customWidth="1"/>
    <col min="10" max="257" width="8.88671875" style="580"/>
    <col min="258" max="258" width="45.6640625" style="580" customWidth="1"/>
    <col min="259" max="259" width="16.44140625" style="580" customWidth="1"/>
    <col min="260" max="260" width="15.33203125" style="580" customWidth="1"/>
    <col min="261" max="261" width="15.88671875" style="580" customWidth="1"/>
    <col min="262" max="262" width="17.6640625" style="580" customWidth="1"/>
    <col min="263" max="263" width="14.44140625" style="580" customWidth="1"/>
    <col min="264" max="264" width="16" style="580" customWidth="1"/>
    <col min="265" max="265" width="15.88671875" style="580" customWidth="1"/>
    <col min="266" max="513" width="8.88671875" style="580"/>
    <col min="514" max="514" width="45.6640625" style="580" customWidth="1"/>
    <col min="515" max="515" width="16.44140625" style="580" customWidth="1"/>
    <col min="516" max="516" width="15.33203125" style="580" customWidth="1"/>
    <col min="517" max="517" width="15.88671875" style="580" customWidth="1"/>
    <col min="518" max="518" width="17.6640625" style="580" customWidth="1"/>
    <col min="519" max="519" width="14.44140625" style="580" customWidth="1"/>
    <col min="520" max="520" width="16" style="580" customWidth="1"/>
    <col min="521" max="521" width="15.88671875" style="580" customWidth="1"/>
    <col min="522" max="769" width="8.88671875" style="580"/>
    <col min="770" max="770" width="45.6640625" style="580" customWidth="1"/>
    <col min="771" max="771" width="16.44140625" style="580" customWidth="1"/>
    <col min="772" max="772" width="15.33203125" style="580" customWidth="1"/>
    <col min="773" max="773" width="15.88671875" style="580" customWidth="1"/>
    <col min="774" max="774" width="17.6640625" style="580" customWidth="1"/>
    <col min="775" max="775" width="14.44140625" style="580" customWidth="1"/>
    <col min="776" max="776" width="16" style="580" customWidth="1"/>
    <col min="777" max="777" width="15.88671875" style="580" customWidth="1"/>
    <col min="778" max="1025" width="8.88671875" style="580"/>
    <col min="1026" max="1026" width="45.6640625" style="580" customWidth="1"/>
    <col min="1027" max="1027" width="16.44140625" style="580" customWidth="1"/>
    <col min="1028" max="1028" width="15.33203125" style="580" customWidth="1"/>
    <col min="1029" max="1029" width="15.88671875" style="580" customWidth="1"/>
    <col min="1030" max="1030" width="17.6640625" style="580" customWidth="1"/>
    <col min="1031" max="1031" width="14.44140625" style="580" customWidth="1"/>
    <col min="1032" max="1032" width="16" style="580" customWidth="1"/>
    <col min="1033" max="1033" width="15.88671875" style="580" customWidth="1"/>
    <col min="1034" max="1281" width="8.88671875" style="580"/>
    <col min="1282" max="1282" width="45.6640625" style="580" customWidth="1"/>
    <col min="1283" max="1283" width="16.44140625" style="580" customWidth="1"/>
    <col min="1284" max="1284" width="15.33203125" style="580" customWidth="1"/>
    <col min="1285" max="1285" width="15.88671875" style="580" customWidth="1"/>
    <col min="1286" max="1286" width="17.6640625" style="580" customWidth="1"/>
    <col min="1287" max="1287" width="14.44140625" style="580" customWidth="1"/>
    <col min="1288" max="1288" width="16" style="580" customWidth="1"/>
    <col min="1289" max="1289" width="15.88671875" style="580" customWidth="1"/>
    <col min="1290" max="1537" width="8.88671875" style="580"/>
    <col min="1538" max="1538" width="45.6640625" style="580" customWidth="1"/>
    <col min="1539" max="1539" width="16.44140625" style="580" customWidth="1"/>
    <col min="1540" max="1540" width="15.33203125" style="580" customWidth="1"/>
    <col min="1541" max="1541" width="15.88671875" style="580" customWidth="1"/>
    <col min="1542" max="1542" width="17.6640625" style="580" customWidth="1"/>
    <col min="1543" max="1543" width="14.44140625" style="580" customWidth="1"/>
    <col min="1544" max="1544" width="16" style="580" customWidth="1"/>
    <col min="1545" max="1545" width="15.88671875" style="580" customWidth="1"/>
    <col min="1546" max="1793" width="8.88671875" style="580"/>
    <col min="1794" max="1794" width="45.6640625" style="580" customWidth="1"/>
    <col min="1795" max="1795" width="16.44140625" style="580" customWidth="1"/>
    <col min="1796" max="1796" width="15.33203125" style="580" customWidth="1"/>
    <col min="1797" max="1797" width="15.88671875" style="580" customWidth="1"/>
    <col min="1798" max="1798" width="17.6640625" style="580" customWidth="1"/>
    <col min="1799" max="1799" width="14.44140625" style="580" customWidth="1"/>
    <col min="1800" max="1800" width="16" style="580" customWidth="1"/>
    <col min="1801" max="1801" width="15.88671875" style="580" customWidth="1"/>
    <col min="1802" max="2049" width="8.88671875" style="580"/>
    <col min="2050" max="2050" width="45.6640625" style="580" customWidth="1"/>
    <col min="2051" max="2051" width="16.44140625" style="580" customWidth="1"/>
    <col min="2052" max="2052" width="15.33203125" style="580" customWidth="1"/>
    <col min="2053" max="2053" width="15.88671875" style="580" customWidth="1"/>
    <col min="2054" max="2054" width="17.6640625" style="580" customWidth="1"/>
    <col min="2055" max="2055" width="14.44140625" style="580" customWidth="1"/>
    <col min="2056" max="2056" width="16" style="580" customWidth="1"/>
    <col min="2057" max="2057" width="15.88671875" style="580" customWidth="1"/>
    <col min="2058" max="2305" width="8.88671875" style="580"/>
    <col min="2306" max="2306" width="45.6640625" style="580" customWidth="1"/>
    <col min="2307" max="2307" width="16.44140625" style="580" customWidth="1"/>
    <col min="2308" max="2308" width="15.33203125" style="580" customWidth="1"/>
    <col min="2309" max="2309" width="15.88671875" style="580" customWidth="1"/>
    <col min="2310" max="2310" width="17.6640625" style="580" customWidth="1"/>
    <col min="2311" max="2311" width="14.44140625" style="580" customWidth="1"/>
    <col min="2312" max="2312" width="16" style="580" customWidth="1"/>
    <col min="2313" max="2313" width="15.88671875" style="580" customWidth="1"/>
    <col min="2314" max="2561" width="8.88671875" style="580"/>
    <col min="2562" max="2562" width="45.6640625" style="580" customWidth="1"/>
    <col min="2563" max="2563" width="16.44140625" style="580" customWidth="1"/>
    <col min="2564" max="2564" width="15.33203125" style="580" customWidth="1"/>
    <col min="2565" max="2565" width="15.88671875" style="580" customWidth="1"/>
    <col min="2566" max="2566" width="17.6640625" style="580" customWidth="1"/>
    <col min="2567" max="2567" width="14.44140625" style="580" customWidth="1"/>
    <col min="2568" max="2568" width="16" style="580" customWidth="1"/>
    <col min="2569" max="2569" width="15.88671875" style="580" customWidth="1"/>
    <col min="2570" max="2817" width="8.88671875" style="580"/>
    <col min="2818" max="2818" width="45.6640625" style="580" customWidth="1"/>
    <col min="2819" max="2819" width="16.44140625" style="580" customWidth="1"/>
    <col min="2820" max="2820" width="15.33203125" style="580" customWidth="1"/>
    <col min="2821" max="2821" width="15.88671875" style="580" customWidth="1"/>
    <col min="2822" max="2822" width="17.6640625" style="580" customWidth="1"/>
    <col min="2823" max="2823" width="14.44140625" style="580" customWidth="1"/>
    <col min="2824" max="2824" width="16" style="580" customWidth="1"/>
    <col min="2825" max="2825" width="15.88671875" style="580" customWidth="1"/>
    <col min="2826" max="3073" width="8.88671875" style="580"/>
    <col min="3074" max="3074" width="45.6640625" style="580" customWidth="1"/>
    <col min="3075" max="3075" width="16.44140625" style="580" customWidth="1"/>
    <col min="3076" max="3076" width="15.33203125" style="580" customWidth="1"/>
    <col min="3077" max="3077" width="15.88671875" style="580" customWidth="1"/>
    <col min="3078" max="3078" width="17.6640625" style="580" customWidth="1"/>
    <col min="3079" max="3079" width="14.44140625" style="580" customWidth="1"/>
    <col min="3080" max="3080" width="16" style="580" customWidth="1"/>
    <col min="3081" max="3081" width="15.88671875" style="580" customWidth="1"/>
    <col min="3082" max="3329" width="8.88671875" style="580"/>
    <col min="3330" max="3330" width="45.6640625" style="580" customWidth="1"/>
    <col min="3331" max="3331" width="16.44140625" style="580" customWidth="1"/>
    <col min="3332" max="3332" width="15.33203125" style="580" customWidth="1"/>
    <col min="3333" max="3333" width="15.88671875" style="580" customWidth="1"/>
    <col min="3334" max="3334" width="17.6640625" style="580" customWidth="1"/>
    <col min="3335" max="3335" width="14.44140625" style="580" customWidth="1"/>
    <col min="3336" max="3336" width="16" style="580" customWidth="1"/>
    <col min="3337" max="3337" width="15.88671875" style="580" customWidth="1"/>
    <col min="3338" max="3585" width="8.88671875" style="580"/>
    <col min="3586" max="3586" width="45.6640625" style="580" customWidth="1"/>
    <col min="3587" max="3587" width="16.44140625" style="580" customWidth="1"/>
    <col min="3588" max="3588" width="15.33203125" style="580" customWidth="1"/>
    <col min="3589" max="3589" width="15.88671875" style="580" customWidth="1"/>
    <col min="3590" max="3590" width="17.6640625" style="580" customWidth="1"/>
    <col min="3591" max="3591" width="14.44140625" style="580" customWidth="1"/>
    <col min="3592" max="3592" width="16" style="580" customWidth="1"/>
    <col min="3593" max="3593" width="15.88671875" style="580" customWidth="1"/>
    <col min="3594" max="3841" width="8.88671875" style="580"/>
    <col min="3842" max="3842" width="45.6640625" style="580" customWidth="1"/>
    <col min="3843" max="3843" width="16.44140625" style="580" customWidth="1"/>
    <col min="3844" max="3844" width="15.33203125" style="580" customWidth="1"/>
    <col min="3845" max="3845" width="15.88671875" style="580" customWidth="1"/>
    <col min="3846" max="3846" width="17.6640625" style="580" customWidth="1"/>
    <col min="3847" max="3847" width="14.44140625" style="580" customWidth="1"/>
    <col min="3848" max="3848" width="16" style="580" customWidth="1"/>
    <col min="3849" max="3849" width="15.88671875" style="580" customWidth="1"/>
    <col min="3850" max="4097" width="8.88671875" style="580"/>
    <col min="4098" max="4098" width="45.6640625" style="580" customWidth="1"/>
    <col min="4099" max="4099" width="16.44140625" style="580" customWidth="1"/>
    <col min="4100" max="4100" width="15.33203125" style="580" customWidth="1"/>
    <col min="4101" max="4101" width="15.88671875" style="580" customWidth="1"/>
    <col min="4102" max="4102" width="17.6640625" style="580" customWidth="1"/>
    <col min="4103" max="4103" width="14.44140625" style="580" customWidth="1"/>
    <col min="4104" max="4104" width="16" style="580" customWidth="1"/>
    <col min="4105" max="4105" width="15.88671875" style="580" customWidth="1"/>
    <col min="4106" max="4353" width="8.88671875" style="580"/>
    <col min="4354" max="4354" width="45.6640625" style="580" customWidth="1"/>
    <col min="4355" max="4355" width="16.44140625" style="580" customWidth="1"/>
    <col min="4356" max="4356" width="15.33203125" style="580" customWidth="1"/>
    <col min="4357" max="4357" width="15.88671875" style="580" customWidth="1"/>
    <col min="4358" max="4358" width="17.6640625" style="580" customWidth="1"/>
    <col min="4359" max="4359" width="14.44140625" style="580" customWidth="1"/>
    <col min="4360" max="4360" width="16" style="580" customWidth="1"/>
    <col min="4361" max="4361" width="15.88671875" style="580" customWidth="1"/>
    <col min="4362" max="4609" width="8.88671875" style="580"/>
    <col min="4610" max="4610" width="45.6640625" style="580" customWidth="1"/>
    <col min="4611" max="4611" width="16.44140625" style="580" customWidth="1"/>
    <col min="4612" max="4612" width="15.33203125" style="580" customWidth="1"/>
    <col min="4613" max="4613" width="15.88671875" style="580" customWidth="1"/>
    <col min="4614" max="4614" width="17.6640625" style="580" customWidth="1"/>
    <col min="4615" max="4615" width="14.44140625" style="580" customWidth="1"/>
    <col min="4616" max="4616" width="16" style="580" customWidth="1"/>
    <col min="4617" max="4617" width="15.88671875" style="580" customWidth="1"/>
    <col min="4618" max="4865" width="8.88671875" style="580"/>
    <col min="4866" max="4866" width="45.6640625" style="580" customWidth="1"/>
    <col min="4867" max="4867" width="16.44140625" style="580" customWidth="1"/>
    <col min="4868" max="4868" width="15.33203125" style="580" customWidth="1"/>
    <col min="4869" max="4869" width="15.88671875" style="580" customWidth="1"/>
    <col min="4870" max="4870" width="17.6640625" style="580" customWidth="1"/>
    <col min="4871" max="4871" width="14.44140625" style="580" customWidth="1"/>
    <col min="4872" max="4872" width="16" style="580" customWidth="1"/>
    <col min="4873" max="4873" width="15.88671875" style="580" customWidth="1"/>
    <col min="4874" max="5121" width="8.88671875" style="580"/>
    <col min="5122" max="5122" width="45.6640625" style="580" customWidth="1"/>
    <col min="5123" max="5123" width="16.44140625" style="580" customWidth="1"/>
    <col min="5124" max="5124" width="15.33203125" style="580" customWidth="1"/>
    <col min="5125" max="5125" width="15.88671875" style="580" customWidth="1"/>
    <col min="5126" max="5126" width="17.6640625" style="580" customWidth="1"/>
    <col min="5127" max="5127" width="14.44140625" style="580" customWidth="1"/>
    <col min="5128" max="5128" width="16" style="580" customWidth="1"/>
    <col min="5129" max="5129" width="15.88671875" style="580" customWidth="1"/>
    <col min="5130" max="5377" width="8.88671875" style="580"/>
    <col min="5378" max="5378" width="45.6640625" style="580" customWidth="1"/>
    <col min="5379" max="5379" width="16.44140625" style="580" customWidth="1"/>
    <col min="5380" max="5380" width="15.33203125" style="580" customWidth="1"/>
    <col min="5381" max="5381" width="15.88671875" style="580" customWidth="1"/>
    <col min="5382" max="5382" width="17.6640625" style="580" customWidth="1"/>
    <col min="5383" max="5383" width="14.44140625" style="580" customWidth="1"/>
    <col min="5384" max="5384" width="16" style="580" customWidth="1"/>
    <col min="5385" max="5385" width="15.88671875" style="580" customWidth="1"/>
    <col min="5386" max="5633" width="8.88671875" style="580"/>
    <col min="5634" max="5634" width="45.6640625" style="580" customWidth="1"/>
    <col min="5635" max="5635" width="16.44140625" style="580" customWidth="1"/>
    <col min="5636" max="5636" width="15.33203125" style="580" customWidth="1"/>
    <col min="5637" max="5637" width="15.88671875" style="580" customWidth="1"/>
    <col min="5638" max="5638" width="17.6640625" style="580" customWidth="1"/>
    <col min="5639" max="5639" width="14.44140625" style="580" customWidth="1"/>
    <col min="5640" max="5640" width="16" style="580" customWidth="1"/>
    <col min="5641" max="5641" width="15.88671875" style="580" customWidth="1"/>
    <col min="5642" max="5889" width="8.88671875" style="580"/>
    <col min="5890" max="5890" width="45.6640625" style="580" customWidth="1"/>
    <col min="5891" max="5891" width="16.44140625" style="580" customWidth="1"/>
    <col min="5892" max="5892" width="15.33203125" style="580" customWidth="1"/>
    <col min="5893" max="5893" width="15.88671875" style="580" customWidth="1"/>
    <col min="5894" max="5894" width="17.6640625" style="580" customWidth="1"/>
    <col min="5895" max="5895" width="14.44140625" style="580" customWidth="1"/>
    <col min="5896" max="5896" width="16" style="580" customWidth="1"/>
    <col min="5897" max="5897" width="15.88671875" style="580" customWidth="1"/>
    <col min="5898" max="6145" width="8.88671875" style="580"/>
    <col min="6146" max="6146" width="45.6640625" style="580" customWidth="1"/>
    <col min="6147" max="6147" width="16.44140625" style="580" customWidth="1"/>
    <col min="6148" max="6148" width="15.33203125" style="580" customWidth="1"/>
    <col min="6149" max="6149" width="15.88671875" style="580" customWidth="1"/>
    <col min="6150" max="6150" width="17.6640625" style="580" customWidth="1"/>
    <col min="6151" max="6151" width="14.44140625" style="580" customWidth="1"/>
    <col min="6152" max="6152" width="16" style="580" customWidth="1"/>
    <col min="6153" max="6153" width="15.88671875" style="580" customWidth="1"/>
    <col min="6154" max="6401" width="8.88671875" style="580"/>
    <col min="6402" max="6402" width="45.6640625" style="580" customWidth="1"/>
    <col min="6403" max="6403" width="16.44140625" style="580" customWidth="1"/>
    <col min="6404" max="6404" width="15.33203125" style="580" customWidth="1"/>
    <col min="6405" max="6405" width="15.88671875" style="580" customWidth="1"/>
    <col min="6406" max="6406" width="17.6640625" style="580" customWidth="1"/>
    <col min="6407" max="6407" width="14.44140625" style="580" customWidth="1"/>
    <col min="6408" max="6408" width="16" style="580" customWidth="1"/>
    <col min="6409" max="6409" width="15.88671875" style="580" customWidth="1"/>
    <col min="6410" max="6657" width="8.88671875" style="580"/>
    <col min="6658" max="6658" width="45.6640625" style="580" customWidth="1"/>
    <col min="6659" max="6659" width="16.44140625" style="580" customWidth="1"/>
    <col min="6660" max="6660" width="15.33203125" style="580" customWidth="1"/>
    <col min="6661" max="6661" width="15.88671875" style="580" customWidth="1"/>
    <col min="6662" max="6662" width="17.6640625" style="580" customWidth="1"/>
    <col min="6663" max="6663" width="14.44140625" style="580" customWidth="1"/>
    <col min="6664" max="6664" width="16" style="580" customWidth="1"/>
    <col min="6665" max="6665" width="15.88671875" style="580" customWidth="1"/>
    <col min="6666" max="6913" width="8.88671875" style="580"/>
    <col min="6914" max="6914" width="45.6640625" style="580" customWidth="1"/>
    <col min="6915" max="6915" width="16.44140625" style="580" customWidth="1"/>
    <col min="6916" max="6916" width="15.33203125" style="580" customWidth="1"/>
    <col min="6917" max="6917" width="15.88671875" style="580" customWidth="1"/>
    <col min="6918" max="6918" width="17.6640625" style="580" customWidth="1"/>
    <col min="6919" max="6919" width="14.44140625" style="580" customWidth="1"/>
    <col min="6920" max="6920" width="16" style="580" customWidth="1"/>
    <col min="6921" max="6921" width="15.88671875" style="580" customWidth="1"/>
    <col min="6922" max="7169" width="8.88671875" style="580"/>
    <col min="7170" max="7170" width="45.6640625" style="580" customWidth="1"/>
    <col min="7171" max="7171" width="16.44140625" style="580" customWidth="1"/>
    <col min="7172" max="7172" width="15.33203125" style="580" customWidth="1"/>
    <col min="7173" max="7173" width="15.88671875" style="580" customWidth="1"/>
    <col min="7174" max="7174" width="17.6640625" style="580" customWidth="1"/>
    <col min="7175" max="7175" width="14.44140625" style="580" customWidth="1"/>
    <col min="7176" max="7176" width="16" style="580" customWidth="1"/>
    <col min="7177" max="7177" width="15.88671875" style="580" customWidth="1"/>
    <col min="7178" max="7425" width="8.88671875" style="580"/>
    <col min="7426" max="7426" width="45.6640625" style="580" customWidth="1"/>
    <col min="7427" max="7427" width="16.44140625" style="580" customWidth="1"/>
    <col min="7428" max="7428" width="15.33203125" style="580" customWidth="1"/>
    <col min="7429" max="7429" width="15.88671875" style="580" customWidth="1"/>
    <col min="7430" max="7430" width="17.6640625" style="580" customWidth="1"/>
    <col min="7431" max="7431" width="14.44140625" style="580" customWidth="1"/>
    <col min="7432" max="7432" width="16" style="580" customWidth="1"/>
    <col min="7433" max="7433" width="15.88671875" style="580" customWidth="1"/>
    <col min="7434" max="7681" width="8.88671875" style="580"/>
    <col min="7682" max="7682" width="45.6640625" style="580" customWidth="1"/>
    <col min="7683" max="7683" width="16.44140625" style="580" customWidth="1"/>
    <col min="7684" max="7684" width="15.33203125" style="580" customWidth="1"/>
    <col min="7685" max="7685" width="15.88671875" style="580" customWidth="1"/>
    <col min="7686" max="7686" width="17.6640625" style="580" customWidth="1"/>
    <col min="7687" max="7687" width="14.44140625" style="580" customWidth="1"/>
    <col min="7688" max="7688" width="16" style="580" customWidth="1"/>
    <col min="7689" max="7689" width="15.88671875" style="580" customWidth="1"/>
    <col min="7690" max="7937" width="8.88671875" style="580"/>
    <col min="7938" max="7938" width="45.6640625" style="580" customWidth="1"/>
    <col min="7939" max="7939" width="16.44140625" style="580" customWidth="1"/>
    <col min="7940" max="7940" width="15.33203125" style="580" customWidth="1"/>
    <col min="7941" max="7941" width="15.88671875" style="580" customWidth="1"/>
    <col min="7942" max="7942" width="17.6640625" style="580" customWidth="1"/>
    <col min="7943" max="7943" width="14.44140625" style="580" customWidth="1"/>
    <col min="7944" max="7944" width="16" style="580" customWidth="1"/>
    <col min="7945" max="7945" width="15.88671875" style="580" customWidth="1"/>
    <col min="7946" max="8193" width="8.88671875" style="580"/>
    <col min="8194" max="8194" width="45.6640625" style="580" customWidth="1"/>
    <col min="8195" max="8195" width="16.44140625" style="580" customWidth="1"/>
    <col min="8196" max="8196" width="15.33203125" style="580" customWidth="1"/>
    <col min="8197" max="8197" width="15.88671875" style="580" customWidth="1"/>
    <col min="8198" max="8198" width="17.6640625" style="580" customWidth="1"/>
    <col min="8199" max="8199" width="14.44140625" style="580" customWidth="1"/>
    <col min="8200" max="8200" width="16" style="580" customWidth="1"/>
    <col min="8201" max="8201" width="15.88671875" style="580" customWidth="1"/>
    <col min="8202" max="8449" width="8.88671875" style="580"/>
    <col min="8450" max="8450" width="45.6640625" style="580" customWidth="1"/>
    <col min="8451" max="8451" width="16.44140625" style="580" customWidth="1"/>
    <col min="8452" max="8452" width="15.33203125" style="580" customWidth="1"/>
    <col min="8453" max="8453" width="15.88671875" style="580" customWidth="1"/>
    <col min="8454" max="8454" width="17.6640625" style="580" customWidth="1"/>
    <col min="8455" max="8455" width="14.44140625" style="580" customWidth="1"/>
    <col min="8456" max="8456" width="16" style="580" customWidth="1"/>
    <col min="8457" max="8457" width="15.88671875" style="580" customWidth="1"/>
    <col min="8458" max="8705" width="8.88671875" style="580"/>
    <col min="8706" max="8706" width="45.6640625" style="580" customWidth="1"/>
    <col min="8707" max="8707" width="16.44140625" style="580" customWidth="1"/>
    <col min="8708" max="8708" width="15.33203125" style="580" customWidth="1"/>
    <col min="8709" max="8709" width="15.88671875" style="580" customWidth="1"/>
    <col min="8710" max="8710" width="17.6640625" style="580" customWidth="1"/>
    <col min="8711" max="8711" width="14.44140625" style="580" customWidth="1"/>
    <col min="8712" max="8712" width="16" style="580" customWidth="1"/>
    <col min="8713" max="8713" width="15.88671875" style="580" customWidth="1"/>
    <col min="8714" max="8961" width="8.88671875" style="580"/>
    <col min="8962" max="8962" width="45.6640625" style="580" customWidth="1"/>
    <col min="8963" max="8963" width="16.44140625" style="580" customWidth="1"/>
    <col min="8964" max="8964" width="15.33203125" style="580" customWidth="1"/>
    <col min="8965" max="8965" width="15.88671875" style="580" customWidth="1"/>
    <col min="8966" max="8966" width="17.6640625" style="580" customWidth="1"/>
    <col min="8967" max="8967" width="14.44140625" style="580" customWidth="1"/>
    <col min="8968" max="8968" width="16" style="580" customWidth="1"/>
    <col min="8969" max="8969" width="15.88671875" style="580" customWidth="1"/>
    <col min="8970" max="9217" width="8.88671875" style="580"/>
    <col min="9218" max="9218" width="45.6640625" style="580" customWidth="1"/>
    <col min="9219" max="9219" width="16.44140625" style="580" customWidth="1"/>
    <col min="9220" max="9220" width="15.33203125" style="580" customWidth="1"/>
    <col min="9221" max="9221" width="15.88671875" style="580" customWidth="1"/>
    <col min="9222" max="9222" width="17.6640625" style="580" customWidth="1"/>
    <col min="9223" max="9223" width="14.44140625" style="580" customWidth="1"/>
    <col min="9224" max="9224" width="16" style="580" customWidth="1"/>
    <col min="9225" max="9225" width="15.88671875" style="580" customWidth="1"/>
    <col min="9226" max="9473" width="8.88671875" style="580"/>
    <col min="9474" max="9474" width="45.6640625" style="580" customWidth="1"/>
    <col min="9475" max="9475" width="16.44140625" style="580" customWidth="1"/>
    <col min="9476" max="9476" width="15.33203125" style="580" customWidth="1"/>
    <col min="9477" max="9477" width="15.88671875" style="580" customWidth="1"/>
    <col min="9478" max="9478" width="17.6640625" style="580" customWidth="1"/>
    <col min="9479" max="9479" width="14.44140625" style="580" customWidth="1"/>
    <col min="9480" max="9480" width="16" style="580" customWidth="1"/>
    <col min="9481" max="9481" width="15.88671875" style="580" customWidth="1"/>
    <col min="9482" max="9729" width="8.88671875" style="580"/>
    <col min="9730" max="9730" width="45.6640625" style="580" customWidth="1"/>
    <col min="9731" max="9731" width="16.44140625" style="580" customWidth="1"/>
    <col min="9732" max="9732" width="15.33203125" style="580" customWidth="1"/>
    <col min="9733" max="9733" width="15.88671875" style="580" customWidth="1"/>
    <col min="9734" max="9734" width="17.6640625" style="580" customWidth="1"/>
    <col min="9735" max="9735" width="14.44140625" style="580" customWidth="1"/>
    <col min="9736" max="9736" width="16" style="580" customWidth="1"/>
    <col min="9737" max="9737" width="15.88671875" style="580" customWidth="1"/>
    <col min="9738" max="9985" width="8.88671875" style="580"/>
    <col min="9986" max="9986" width="45.6640625" style="580" customWidth="1"/>
    <col min="9987" max="9987" width="16.44140625" style="580" customWidth="1"/>
    <col min="9988" max="9988" width="15.33203125" style="580" customWidth="1"/>
    <col min="9989" max="9989" width="15.88671875" style="580" customWidth="1"/>
    <col min="9990" max="9990" width="17.6640625" style="580" customWidth="1"/>
    <col min="9991" max="9991" width="14.44140625" style="580" customWidth="1"/>
    <col min="9992" max="9992" width="16" style="580" customWidth="1"/>
    <col min="9993" max="9993" width="15.88671875" style="580" customWidth="1"/>
    <col min="9994" max="10241" width="8.88671875" style="580"/>
    <col min="10242" max="10242" width="45.6640625" style="580" customWidth="1"/>
    <col min="10243" max="10243" width="16.44140625" style="580" customWidth="1"/>
    <col min="10244" max="10244" width="15.33203125" style="580" customWidth="1"/>
    <col min="10245" max="10245" width="15.88671875" style="580" customWidth="1"/>
    <col min="10246" max="10246" width="17.6640625" style="580" customWidth="1"/>
    <col min="10247" max="10247" width="14.44140625" style="580" customWidth="1"/>
    <col min="10248" max="10248" width="16" style="580" customWidth="1"/>
    <col min="10249" max="10249" width="15.88671875" style="580" customWidth="1"/>
    <col min="10250" max="10497" width="8.88671875" style="580"/>
    <col min="10498" max="10498" width="45.6640625" style="580" customWidth="1"/>
    <col min="10499" max="10499" width="16.44140625" style="580" customWidth="1"/>
    <col min="10500" max="10500" width="15.33203125" style="580" customWidth="1"/>
    <col min="10501" max="10501" width="15.88671875" style="580" customWidth="1"/>
    <col min="10502" max="10502" width="17.6640625" style="580" customWidth="1"/>
    <col min="10503" max="10503" width="14.44140625" style="580" customWidth="1"/>
    <col min="10504" max="10504" width="16" style="580" customWidth="1"/>
    <col min="10505" max="10505" width="15.88671875" style="580" customWidth="1"/>
    <col min="10506" max="10753" width="8.88671875" style="580"/>
    <col min="10754" max="10754" width="45.6640625" style="580" customWidth="1"/>
    <col min="10755" max="10755" width="16.44140625" style="580" customWidth="1"/>
    <col min="10756" max="10756" width="15.33203125" style="580" customWidth="1"/>
    <col min="10757" max="10757" width="15.88671875" style="580" customWidth="1"/>
    <col min="10758" max="10758" width="17.6640625" style="580" customWidth="1"/>
    <col min="10759" max="10759" width="14.44140625" style="580" customWidth="1"/>
    <col min="10760" max="10760" width="16" style="580" customWidth="1"/>
    <col min="10761" max="10761" width="15.88671875" style="580" customWidth="1"/>
    <col min="10762" max="11009" width="8.88671875" style="580"/>
    <col min="11010" max="11010" width="45.6640625" style="580" customWidth="1"/>
    <col min="11011" max="11011" width="16.44140625" style="580" customWidth="1"/>
    <col min="11012" max="11012" width="15.33203125" style="580" customWidth="1"/>
    <col min="11013" max="11013" width="15.88671875" style="580" customWidth="1"/>
    <col min="11014" max="11014" width="17.6640625" style="580" customWidth="1"/>
    <col min="11015" max="11015" width="14.44140625" style="580" customWidth="1"/>
    <col min="11016" max="11016" width="16" style="580" customWidth="1"/>
    <col min="11017" max="11017" width="15.88671875" style="580" customWidth="1"/>
    <col min="11018" max="11265" width="8.88671875" style="580"/>
    <col min="11266" max="11266" width="45.6640625" style="580" customWidth="1"/>
    <col min="11267" max="11267" width="16.44140625" style="580" customWidth="1"/>
    <col min="11268" max="11268" width="15.33203125" style="580" customWidth="1"/>
    <col min="11269" max="11269" width="15.88671875" style="580" customWidth="1"/>
    <col min="11270" max="11270" width="17.6640625" style="580" customWidth="1"/>
    <col min="11271" max="11271" width="14.44140625" style="580" customWidth="1"/>
    <col min="11272" max="11272" width="16" style="580" customWidth="1"/>
    <col min="11273" max="11273" width="15.88671875" style="580" customWidth="1"/>
    <col min="11274" max="11521" width="8.88671875" style="580"/>
    <col min="11522" max="11522" width="45.6640625" style="580" customWidth="1"/>
    <col min="11523" max="11523" width="16.44140625" style="580" customWidth="1"/>
    <col min="11524" max="11524" width="15.33203125" style="580" customWidth="1"/>
    <col min="11525" max="11525" width="15.88671875" style="580" customWidth="1"/>
    <col min="11526" max="11526" width="17.6640625" style="580" customWidth="1"/>
    <col min="11527" max="11527" width="14.44140625" style="580" customWidth="1"/>
    <col min="11528" max="11528" width="16" style="580" customWidth="1"/>
    <col min="11529" max="11529" width="15.88671875" style="580" customWidth="1"/>
    <col min="11530" max="11777" width="8.88671875" style="580"/>
    <col min="11778" max="11778" width="45.6640625" style="580" customWidth="1"/>
    <col min="11779" max="11779" width="16.44140625" style="580" customWidth="1"/>
    <col min="11780" max="11780" width="15.33203125" style="580" customWidth="1"/>
    <col min="11781" max="11781" width="15.88671875" style="580" customWidth="1"/>
    <col min="11782" max="11782" width="17.6640625" style="580" customWidth="1"/>
    <col min="11783" max="11783" width="14.44140625" style="580" customWidth="1"/>
    <col min="11784" max="11784" width="16" style="580" customWidth="1"/>
    <col min="11785" max="11785" width="15.88671875" style="580" customWidth="1"/>
    <col min="11786" max="12033" width="8.88671875" style="580"/>
    <col min="12034" max="12034" width="45.6640625" style="580" customWidth="1"/>
    <col min="12035" max="12035" width="16.44140625" style="580" customWidth="1"/>
    <col min="12036" max="12036" width="15.33203125" style="580" customWidth="1"/>
    <col min="12037" max="12037" width="15.88671875" style="580" customWidth="1"/>
    <col min="12038" max="12038" width="17.6640625" style="580" customWidth="1"/>
    <col min="12039" max="12039" width="14.44140625" style="580" customWidth="1"/>
    <col min="12040" max="12040" width="16" style="580" customWidth="1"/>
    <col min="12041" max="12041" width="15.88671875" style="580" customWidth="1"/>
    <col min="12042" max="12289" width="8.88671875" style="580"/>
    <col min="12290" max="12290" width="45.6640625" style="580" customWidth="1"/>
    <col min="12291" max="12291" width="16.44140625" style="580" customWidth="1"/>
    <col min="12292" max="12292" width="15.33203125" style="580" customWidth="1"/>
    <col min="12293" max="12293" width="15.88671875" style="580" customWidth="1"/>
    <col min="12294" max="12294" width="17.6640625" style="580" customWidth="1"/>
    <col min="12295" max="12295" width="14.44140625" style="580" customWidth="1"/>
    <col min="12296" max="12296" width="16" style="580" customWidth="1"/>
    <col min="12297" max="12297" width="15.88671875" style="580" customWidth="1"/>
    <col min="12298" max="12545" width="8.88671875" style="580"/>
    <col min="12546" max="12546" width="45.6640625" style="580" customWidth="1"/>
    <col min="12547" max="12547" width="16.44140625" style="580" customWidth="1"/>
    <col min="12548" max="12548" width="15.33203125" style="580" customWidth="1"/>
    <col min="12549" max="12549" width="15.88671875" style="580" customWidth="1"/>
    <col min="12550" max="12550" width="17.6640625" style="580" customWidth="1"/>
    <col min="12551" max="12551" width="14.44140625" style="580" customWidth="1"/>
    <col min="12552" max="12552" width="16" style="580" customWidth="1"/>
    <col min="12553" max="12553" width="15.88671875" style="580" customWidth="1"/>
    <col min="12554" max="12801" width="8.88671875" style="580"/>
    <col min="12802" max="12802" width="45.6640625" style="580" customWidth="1"/>
    <col min="12803" max="12803" width="16.44140625" style="580" customWidth="1"/>
    <col min="12804" max="12804" width="15.33203125" style="580" customWidth="1"/>
    <col min="12805" max="12805" width="15.88671875" style="580" customWidth="1"/>
    <col min="12806" max="12806" width="17.6640625" style="580" customWidth="1"/>
    <col min="12807" max="12807" width="14.44140625" style="580" customWidth="1"/>
    <col min="12808" max="12808" width="16" style="580" customWidth="1"/>
    <col min="12809" max="12809" width="15.88671875" style="580" customWidth="1"/>
    <col min="12810" max="13057" width="8.88671875" style="580"/>
    <col min="13058" max="13058" width="45.6640625" style="580" customWidth="1"/>
    <col min="13059" max="13059" width="16.44140625" style="580" customWidth="1"/>
    <col min="13060" max="13060" width="15.33203125" style="580" customWidth="1"/>
    <col min="13061" max="13061" width="15.88671875" style="580" customWidth="1"/>
    <col min="13062" max="13062" width="17.6640625" style="580" customWidth="1"/>
    <col min="13063" max="13063" width="14.44140625" style="580" customWidth="1"/>
    <col min="13064" max="13064" width="16" style="580" customWidth="1"/>
    <col min="13065" max="13065" width="15.88671875" style="580" customWidth="1"/>
    <col min="13066" max="13313" width="8.88671875" style="580"/>
    <col min="13314" max="13314" width="45.6640625" style="580" customWidth="1"/>
    <col min="13315" max="13315" width="16.44140625" style="580" customWidth="1"/>
    <col min="13316" max="13316" width="15.33203125" style="580" customWidth="1"/>
    <col min="13317" max="13317" width="15.88671875" style="580" customWidth="1"/>
    <col min="13318" max="13318" width="17.6640625" style="580" customWidth="1"/>
    <col min="13319" max="13319" width="14.44140625" style="580" customWidth="1"/>
    <col min="13320" max="13320" width="16" style="580" customWidth="1"/>
    <col min="13321" max="13321" width="15.88671875" style="580" customWidth="1"/>
    <col min="13322" max="13569" width="8.88671875" style="580"/>
    <col min="13570" max="13570" width="45.6640625" style="580" customWidth="1"/>
    <col min="13571" max="13571" width="16.44140625" style="580" customWidth="1"/>
    <col min="13572" max="13572" width="15.33203125" style="580" customWidth="1"/>
    <col min="13573" max="13573" width="15.88671875" style="580" customWidth="1"/>
    <col min="13574" max="13574" width="17.6640625" style="580" customWidth="1"/>
    <col min="13575" max="13575" width="14.44140625" style="580" customWidth="1"/>
    <col min="13576" max="13576" width="16" style="580" customWidth="1"/>
    <col min="13577" max="13577" width="15.88671875" style="580" customWidth="1"/>
    <col min="13578" max="13825" width="8.88671875" style="580"/>
    <col min="13826" max="13826" width="45.6640625" style="580" customWidth="1"/>
    <col min="13827" max="13827" width="16.44140625" style="580" customWidth="1"/>
    <col min="13828" max="13828" width="15.33203125" style="580" customWidth="1"/>
    <col min="13829" max="13829" width="15.88671875" style="580" customWidth="1"/>
    <col min="13830" max="13830" width="17.6640625" style="580" customWidth="1"/>
    <col min="13831" max="13831" width="14.44140625" style="580" customWidth="1"/>
    <col min="13832" max="13832" width="16" style="580" customWidth="1"/>
    <col min="13833" max="13833" width="15.88671875" style="580" customWidth="1"/>
    <col min="13834" max="14081" width="8.88671875" style="580"/>
    <col min="14082" max="14082" width="45.6640625" style="580" customWidth="1"/>
    <col min="14083" max="14083" width="16.44140625" style="580" customWidth="1"/>
    <col min="14084" max="14084" width="15.33203125" style="580" customWidth="1"/>
    <col min="14085" max="14085" width="15.88671875" style="580" customWidth="1"/>
    <col min="14086" max="14086" width="17.6640625" style="580" customWidth="1"/>
    <col min="14087" max="14087" width="14.44140625" style="580" customWidth="1"/>
    <col min="14088" max="14088" width="16" style="580" customWidth="1"/>
    <col min="14089" max="14089" width="15.88671875" style="580" customWidth="1"/>
    <col min="14090" max="14337" width="8.88671875" style="580"/>
    <col min="14338" max="14338" width="45.6640625" style="580" customWidth="1"/>
    <col min="14339" max="14339" width="16.44140625" style="580" customWidth="1"/>
    <col min="14340" max="14340" width="15.33203125" style="580" customWidth="1"/>
    <col min="14341" max="14341" width="15.88671875" style="580" customWidth="1"/>
    <col min="14342" max="14342" width="17.6640625" style="580" customWidth="1"/>
    <col min="14343" max="14343" width="14.44140625" style="580" customWidth="1"/>
    <col min="14344" max="14344" width="16" style="580" customWidth="1"/>
    <col min="14345" max="14345" width="15.88671875" style="580" customWidth="1"/>
    <col min="14346" max="14593" width="8.88671875" style="580"/>
    <col min="14594" max="14594" width="45.6640625" style="580" customWidth="1"/>
    <col min="14595" max="14595" width="16.44140625" style="580" customWidth="1"/>
    <col min="14596" max="14596" width="15.33203125" style="580" customWidth="1"/>
    <col min="14597" max="14597" width="15.88671875" style="580" customWidth="1"/>
    <col min="14598" max="14598" width="17.6640625" style="580" customWidth="1"/>
    <col min="14599" max="14599" width="14.44140625" style="580" customWidth="1"/>
    <col min="14600" max="14600" width="16" style="580" customWidth="1"/>
    <col min="14601" max="14601" width="15.88671875" style="580" customWidth="1"/>
    <col min="14602" max="14849" width="8.88671875" style="580"/>
    <col min="14850" max="14850" width="45.6640625" style="580" customWidth="1"/>
    <col min="14851" max="14851" width="16.44140625" style="580" customWidth="1"/>
    <col min="14852" max="14852" width="15.33203125" style="580" customWidth="1"/>
    <col min="14853" max="14853" width="15.88671875" style="580" customWidth="1"/>
    <col min="14854" max="14854" width="17.6640625" style="580" customWidth="1"/>
    <col min="14855" max="14855" width="14.44140625" style="580" customWidth="1"/>
    <col min="14856" max="14856" width="16" style="580" customWidth="1"/>
    <col min="14857" max="14857" width="15.88671875" style="580" customWidth="1"/>
    <col min="14858" max="15105" width="8.88671875" style="580"/>
    <col min="15106" max="15106" width="45.6640625" style="580" customWidth="1"/>
    <col min="15107" max="15107" width="16.44140625" style="580" customWidth="1"/>
    <col min="15108" max="15108" width="15.33203125" style="580" customWidth="1"/>
    <col min="15109" max="15109" width="15.88671875" style="580" customWidth="1"/>
    <col min="15110" max="15110" width="17.6640625" style="580" customWidth="1"/>
    <col min="15111" max="15111" width="14.44140625" style="580" customWidth="1"/>
    <col min="15112" max="15112" width="16" style="580" customWidth="1"/>
    <col min="15113" max="15113" width="15.88671875" style="580" customWidth="1"/>
    <col min="15114" max="15361" width="8.88671875" style="580"/>
    <col min="15362" max="15362" width="45.6640625" style="580" customWidth="1"/>
    <col min="15363" max="15363" width="16.44140625" style="580" customWidth="1"/>
    <col min="15364" max="15364" width="15.33203125" style="580" customWidth="1"/>
    <col min="15365" max="15365" width="15.88671875" style="580" customWidth="1"/>
    <col min="15366" max="15366" width="17.6640625" style="580" customWidth="1"/>
    <col min="15367" max="15367" width="14.44140625" style="580" customWidth="1"/>
    <col min="15368" max="15368" width="16" style="580" customWidth="1"/>
    <col min="15369" max="15369" width="15.88671875" style="580" customWidth="1"/>
    <col min="15370" max="15617" width="8.88671875" style="580"/>
    <col min="15618" max="15618" width="45.6640625" style="580" customWidth="1"/>
    <col min="15619" max="15619" width="16.44140625" style="580" customWidth="1"/>
    <col min="15620" max="15620" width="15.33203125" style="580" customWidth="1"/>
    <col min="15621" max="15621" width="15.88671875" style="580" customWidth="1"/>
    <col min="15622" max="15622" width="17.6640625" style="580" customWidth="1"/>
    <col min="15623" max="15623" width="14.44140625" style="580" customWidth="1"/>
    <col min="15624" max="15624" width="16" style="580" customWidth="1"/>
    <col min="15625" max="15625" width="15.88671875" style="580" customWidth="1"/>
    <col min="15626" max="15873" width="8.88671875" style="580"/>
    <col min="15874" max="15874" width="45.6640625" style="580" customWidth="1"/>
    <col min="15875" max="15875" width="16.44140625" style="580" customWidth="1"/>
    <col min="15876" max="15876" width="15.33203125" style="580" customWidth="1"/>
    <col min="15877" max="15877" width="15.88671875" style="580" customWidth="1"/>
    <col min="15878" max="15878" width="17.6640625" style="580" customWidth="1"/>
    <col min="15879" max="15879" width="14.44140625" style="580" customWidth="1"/>
    <col min="15880" max="15880" width="16" style="580" customWidth="1"/>
    <col min="15881" max="15881" width="15.88671875" style="580" customWidth="1"/>
    <col min="15882" max="16129" width="8.88671875" style="580"/>
    <col min="16130" max="16130" width="45.6640625" style="580" customWidth="1"/>
    <col min="16131" max="16131" width="16.44140625" style="580" customWidth="1"/>
    <col min="16132" max="16132" width="15.33203125" style="580" customWidth="1"/>
    <col min="16133" max="16133" width="15.88671875" style="580" customWidth="1"/>
    <col min="16134" max="16134" width="17.6640625" style="580" customWidth="1"/>
    <col min="16135" max="16135" width="14.44140625" style="580" customWidth="1"/>
    <col min="16136" max="16136" width="16" style="580" customWidth="1"/>
    <col min="16137" max="16137" width="15.88671875" style="580" customWidth="1"/>
    <col min="16138" max="16384" width="8.88671875" style="580"/>
  </cols>
  <sheetData>
    <row r="2" spans="2:9">
      <c r="B2" s="578"/>
      <c r="C2" s="579" t="s">
        <v>547</v>
      </c>
      <c r="D2" s="579" t="s">
        <v>548</v>
      </c>
      <c r="E2" s="579" t="s">
        <v>549</v>
      </c>
      <c r="F2" s="579" t="s">
        <v>550</v>
      </c>
      <c r="G2" s="579" t="s">
        <v>551</v>
      </c>
      <c r="H2" s="579" t="s">
        <v>552</v>
      </c>
      <c r="I2" s="579" t="s">
        <v>553</v>
      </c>
    </row>
    <row r="3" spans="2:9">
      <c r="B3" s="578" t="s">
        <v>554</v>
      </c>
      <c r="C3" s="581">
        <v>0.3</v>
      </c>
      <c r="D3" s="581">
        <v>51</v>
      </c>
      <c r="E3" s="581">
        <v>1.2</v>
      </c>
      <c r="F3" s="581">
        <v>1.2</v>
      </c>
      <c r="G3" s="581">
        <v>5.6000000000000004E-7</v>
      </c>
      <c r="H3" s="581">
        <v>52000</v>
      </c>
      <c r="I3" s="581">
        <v>26</v>
      </c>
    </row>
    <row r="4" spans="2:9">
      <c r="B4" s="578" t="s">
        <v>555</v>
      </c>
      <c r="C4" s="581">
        <v>70</v>
      </c>
      <c r="D4" s="581">
        <v>51</v>
      </c>
      <c r="E4" s="581">
        <v>1.9</v>
      </c>
      <c r="F4" s="581">
        <v>1.9</v>
      </c>
      <c r="G4" s="581">
        <v>8.0000000000000007E-5</v>
      </c>
      <c r="H4" s="581">
        <v>76000</v>
      </c>
      <c r="I4" s="581">
        <v>57</v>
      </c>
    </row>
    <row r="5" spans="2:9">
      <c r="B5" s="578" t="s">
        <v>556</v>
      </c>
      <c r="C5" s="581">
        <v>0</v>
      </c>
      <c r="D5" s="581">
        <v>0</v>
      </c>
      <c r="E5" s="581">
        <v>0</v>
      </c>
      <c r="F5" s="581">
        <v>0</v>
      </c>
      <c r="G5" s="581">
        <v>0</v>
      </c>
      <c r="H5" s="581">
        <v>230833</v>
      </c>
      <c r="I5" s="581">
        <v>0</v>
      </c>
    </row>
    <row r="6" spans="2:9">
      <c r="B6" s="578" t="s">
        <v>557</v>
      </c>
      <c r="C6" s="581">
        <v>0</v>
      </c>
      <c r="D6" s="581">
        <v>0</v>
      </c>
      <c r="E6" s="581">
        <v>0</v>
      </c>
      <c r="F6" s="581">
        <v>0</v>
      </c>
      <c r="G6" s="581">
        <v>0</v>
      </c>
      <c r="H6" s="581">
        <v>93740</v>
      </c>
      <c r="I6" s="581">
        <v>0</v>
      </c>
    </row>
    <row r="8" spans="2:9">
      <c r="B8" s="711" t="s">
        <v>558</v>
      </c>
      <c r="C8" s="711"/>
      <c r="D8" s="711"/>
      <c r="E8" s="711"/>
      <c r="F8" s="711"/>
      <c r="G8" s="711"/>
      <c r="H8" s="711"/>
      <c r="I8" s="711"/>
    </row>
    <row r="9" spans="2:9">
      <c r="B9" s="578"/>
      <c r="C9" s="579" t="s">
        <v>547</v>
      </c>
      <c r="D9" s="579" t="s">
        <v>548</v>
      </c>
      <c r="E9" s="579" t="s">
        <v>549</v>
      </c>
      <c r="F9" s="579" t="s">
        <v>550</v>
      </c>
      <c r="G9" s="579" t="s">
        <v>551</v>
      </c>
      <c r="H9" s="579" t="s">
        <v>552</v>
      </c>
      <c r="I9" s="579" t="s">
        <v>553</v>
      </c>
    </row>
    <row r="10" spans="2:9">
      <c r="B10" s="578" t="s">
        <v>559</v>
      </c>
      <c r="C10" s="581">
        <v>400</v>
      </c>
      <c r="D10" s="581">
        <v>110</v>
      </c>
      <c r="E10" s="582">
        <v>404</v>
      </c>
      <c r="F10" s="581">
        <v>398</v>
      </c>
      <c r="G10" s="581">
        <v>0.23</v>
      </c>
      <c r="H10" s="582">
        <v>91000</v>
      </c>
      <c r="I10" s="581">
        <v>4600</v>
      </c>
    </row>
    <row r="11" spans="2:9">
      <c r="B11" s="578" t="s">
        <v>560</v>
      </c>
      <c r="C11" s="581">
        <v>282.8</v>
      </c>
      <c r="D11" s="581">
        <v>150</v>
      </c>
      <c r="E11" s="581">
        <v>240</v>
      </c>
      <c r="F11" s="581">
        <v>220</v>
      </c>
      <c r="G11" s="581">
        <v>0.15</v>
      </c>
      <c r="H11" s="582">
        <v>95000</v>
      </c>
      <c r="I11" s="581">
        <v>2000</v>
      </c>
    </row>
    <row r="12" spans="2:9">
      <c r="B12" s="578" t="s">
        <v>561</v>
      </c>
      <c r="C12" s="581">
        <v>400</v>
      </c>
      <c r="D12" s="581">
        <v>110</v>
      </c>
      <c r="E12" s="581">
        <v>200</v>
      </c>
      <c r="F12" s="581">
        <v>150</v>
      </c>
      <c r="G12" s="581">
        <v>0.2</v>
      </c>
      <c r="H12" s="582">
        <v>91000</v>
      </c>
      <c r="I12" s="581">
        <v>2466.7800000000002</v>
      </c>
    </row>
    <row r="13" spans="2:9">
      <c r="B13" s="578" t="s">
        <v>562</v>
      </c>
      <c r="C13" s="581">
        <v>200</v>
      </c>
      <c r="D13" s="581">
        <v>110</v>
      </c>
      <c r="E13" s="581">
        <v>49.5</v>
      </c>
      <c r="F13" s="581">
        <v>47.03</v>
      </c>
      <c r="G13" s="581">
        <v>8.4000000000000005E-2</v>
      </c>
      <c r="H13" s="582">
        <v>91000</v>
      </c>
      <c r="I13" s="581">
        <v>860</v>
      </c>
    </row>
    <row r="14" spans="2:9">
      <c r="B14" s="578" t="s">
        <v>563</v>
      </c>
      <c r="C14" s="581">
        <v>0</v>
      </c>
      <c r="D14" s="581">
        <v>202</v>
      </c>
      <c r="E14" s="581">
        <v>23.68</v>
      </c>
      <c r="F14" s="581">
        <v>23.33</v>
      </c>
      <c r="G14" s="581">
        <v>4.4999999999999998E-2</v>
      </c>
      <c r="H14" s="582">
        <v>104000</v>
      </c>
      <c r="I14" s="581">
        <v>345.35</v>
      </c>
    </row>
    <row r="15" spans="2:9">
      <c r="B15" s="578" t="s">
        <v>564</v>
      </c>
      <c r="C15" s="581">
        <v>0</v>
      </c>
      <c r="D15" s="581">
        <v>202</v>
      </c>
      <c r="E15" s="581">
        <v>23.68</v>
      </c>
      <c r="F15" s="581">
        <v>23.33</v>
      </c>
      <c r="G15" s="581">
        <v>4.4999999999999998E-2</v>
      </c>
      <c r="H15" s="582">
        <v>104000</v>
      </c>
      <c r="I15" s="581">
        <v>345.35</v>
      </c>
    </row>
    <row r="16" spans="2:9">
      <c r="B16" s="578" t="s">
        <v>565</v>
      </c>
      <c r="C16" s="581">
        <v>282.8</v>
      </c>
      <c r="D16" s="581">
        <v>340</v>
      </c>
      <c r="E16" s="581">
        <v>49.34</v>
      </c>
      <c r="F16" s="581">
        <v>48.6</v>
      </c>
      <c r="G16" s="581">
        <v>7.4999999999999997E-2</v>
      </c>
      <c r="H16" s="582">
        <v>92000</v>
      </c>
      <c r="I16" s="581">
        <v>1140</v>
      </c>
    </row>
    <row r="17" spans="2:9">
      <c r="B17" s="578" t="s">
        <v>566</v>
      </c>
      <c r="C17" s="581">
        <v>200</v>
      </c>
      <c r="D17" s="581">
        <v>340</v>
      </c>
      <c r="E17" s="581">
        <v>23.68</v>
      </c>
      <c r="F17" s="581">
        <v>23.33</v>
      </c>
      <c r="G17" s="581">
        <v>4.4999999999999998E-2</v>
      </c>
      <c r="H17" s="582">
        <v>92000</v>
      </c>
      <c r="I17" s="581">
        <v>670</v>
      </c>
    </row>
    <row r="18" spans="2:9">
      <c r="B18" s="578" t="s">
        <v>567</v>
      </c>
      <c r="C18" s="581">
        <v>0</v>
      </c>
      <c r="D18" s="581">
        <v>190</v>
      </c>
      <c r="E18" s="581">
        <v>15.79</v>
      </c>
      <c r="F18" s="581">
        <v>15.55</v>
      </c>
      <c r="G18" s="581">
        <v>1.0999999999999999E-2</v>
      </c>
      <c r="H18" s="582">
        <v>92000</v>
      </c>
      <c r="I18" s="581">
        <v>246.88</v>
      </c>
    </row>
    <row r="19" spans="2:9">
      <c r="B19" s="578" t="s">
        <v>568</v>
      </c>
      <c r="C19" s="581">
        <v>0</v>
      </c>
      <c r="D19" s="581">
        <v>190</v>
      </c>
      <c r="E19" s="581">
        <v>15.79</v>
      </c>
      <c r="F19" s="581">
        <v>15.55</v>
      </c>
      <c r="G19" s="581">
        <v>1.0999999999999999E-2</v>
      </c>
      <c r="H19" s="582">
        <v>92000</v>
      </c>
      <c r="I19" s="581">
        <v>246.88</v>
      </c>
    </row>
    <row r="21" spans="2:9">
      <c r="B21" s="711" t="s">
        <v>569</v>
      </c>
      <c r="C21" s="711"/>
      <c r="D21" s="711"/>
      <c r="E21" s="711"/>
      <c r="F21" s="711"/>
      <c r="G21" s="711"/>
      <c r="H21" s="711"/>
      <c r="I21" s="711"/>
    </row>
    <row r="22" spans="2:9">
      <c r="B22" s="578"/>
      <c r="C22" s="579" t="s">
        <v>547</v>
      </c>
      <c r="D22" s="579" t="s">
        <v>548</v>
      </c>
      <c r="E22" s="579" t="s">
        <v>549</v>
      </c>
      <c r="F22" s="579" t="s">
        <v>550</v>
      </c>
      <c r="G22" s="579" t="s">
        <v>551</v>
      </c>
      <c r="H22" s="579" t="s">
        <v>552</v>
      </c>
      <c r="I22" s="579" t="s">
        <v>553</v>
      </c>
    </row>
    <row r="23" spans="2:9">
      <c r="B23" s="578" t="s">
        <v>559</v>
      </c>
      <c r="C23" s="581">
        <v>11</v>
      </c>
      <c r="D23" s="581">
        <v>80</v>
      </c>
      <c r="E23" s="581">
        <v>760</v>
      </c>
      <c r="F23" s="581">
        <v>740</v>
      </c>
      <c r="G23" s="581">
        <v>0.121</v>
      </c>
      <c r="H23" s="583">
        <v>0</v>
      </c>
      <c r="I23" s="581">
        <v>4000</v>
      </c>
    </row>
    <row r="24" spans="2:9">
      <c r="B24" s="578" t="s">
        <v>560</v>
      </c>
      <c r="C24" s="581">
        <v>11</v>
      </c>
      <c r="D24" s="581">
        <v>80</v>
      </c>
      <c r="E24" s="581">
        <v>760</v>
      </c>
      <c r="F24" s="581">
        <v>740</v>
      </c>
      <c r="G24" s="581">
        <v>0.121</v>
      </c>
      <c r="H24" s="583">
        <v>0</v>
      </c>
      <c r="I24" s="581">
        <v>4000</v>
      </c>
    </row>
    <row r="25" spans="2:9">
      <c r="B25" s="578" t="s">
        <v>561</v>
      </c>
      <c r="C25" s="581">
        <v>10</v>
      </c>
      <c r="D25" s="581">
        <v>80</v>
      </c>
      <c r="E25" s="581">
        <v>108</v>
      </c>
      <c r="F25" s="581">
        <v>102.6</v>
      </c>
      <c r="G25" s="581">
        <v>0.02</v>
      </c>
      <c r="H25" s="583">
        <v>0</v>
      </c>
      <c r="I25" s="581">
        <v>2850</v>
      </c>
    </row>
    <row r="26" spans="2:9">
      <c r="B26" s="578" t="s">
        <v>562</v>
      </c>
      <c r="C26" s="581">
        <v>10</v>
      </c>
      <c r="D26" s="581">
        <v>110</v>
      </c>
      <c r="E26" s="581">
        <v>49.5</v>
      </c>
      <c r="F26" s="581">
        <v>47.03</v>
      </c>
      <c r="G26" s="581">
        <v>6.9000000000000006E-2</v>
      </c>
      <c r="H26" s="583">
        <v>0</v>
      </c>
      <c r="I26" s="581">
        <v>592.03</v>
      </c>
    </row>
    <row r="27" spans="2:9">
      <c r="B27" s="578" t="s">
        <v>563</v>
      </c>
      <c r="C27" s="581">
        <v>10</v>
      </c>
      <c r="D27" s="581">
        <v>130</v>
      </c>
      <c r="E27" s="581">
        <v>36</v>
      </c>
      <c r="F27" s="581">
        <v>34.200000000000003</v>
      </c>
      <c r="G27" s="581">
        <v>0.05</v>
      </c>
      <c r="H27" s="583">
        <v>0</v>
      </c>
      <c r="I27" s="581">
        <v>440</v>
      </c>
    </row>
    <row r="28" spans="2:9">
      <c r="B28" s="578" t="s">
        <v>564</v>
      </c>
      <c r="C28" s="581">
        <v>10</v>
      </c>
      <c r="D28" s="581">
        <v>130</v>
      </c>
      <c r="E28" s="581">
        <v>36</v>
      </c>
      <c r="F28" s="581">
        <v>34.200000000000003</v>
      </c>
      <c r="G28" s="581">
        <v>0.05</v>
      </c>
      <c r="H28" s="583">
        <v>0</v>
      </c>
      <c r="I28" s="581">
        <v>440</v>
      </c>
    </row>
    <row r="29" spans="2:9">
      <c r="B29" s="578" t="s">
        <v>565</v>
      </c>
      <c r="C29" s="581">
        <v>20</v>
      </c>
      <c r="D29" s="581">
        <v>115</v>
      </c>
      <c r="E29" s="581">
        <v>49.5</v>
      </c>
      <c r="F29" s="581">
        <v>47.03</v>
      </c>
      <c r="G29" s="581">
        <v>3.7999999999999999E-2</v>
      </c>
      <c r="H29" s="583">
        <v>0</v>
      </c>
      <c r="I29" s="581">
        <v>670</v>
      </c>
    </row>
    <row r="30" spans="2:9">
      <c r="B30" s="578" t="s">
        <v>566</v>
      </c>
      <c r="C30" s="581">
        <v>20</v>
      </c>
      <c r="D30" s="581">
        <v>341</v>
      </c>
      <c r="E30" s="581">
        <v>23.68</v>
      </c>
      <c r="F30" s="581">
        <v>23.33</v>
      </c>
      <c r="G30" s="581">
        <v>7.4000000000000003E-3</v>
      </c>
      <c r="H30" s="583">
        <v>0</v>
      </c>
      <c r="I30" s="581">
        <v>493.36</v>
      </c>
    </row>
    <row r="31" spans="2:9">
      <c r="B31" s="578" t="s">
        <v>567</v>
      </c>
      <c r="C31" s="581">
        <v>0</v>
      </c>
      <c r="D31" s="581">
        <v>100</v>
      </c>
      <c r="E31" s="581">
        <v>18</v>
      </c>
      <c r="F31" s="581">
        <v>17.100000000000001</v>
      </c>
      <c r="G31" s="581">
        <v>5.0000000000000001E-3</v>
      </c>
      <c r="H31" s="583">
        <v>0</v>
      </c>
      <c r="I31" s="581">
        <v>246.88</v>
      </c>
    </row>
    <row r="32" spans="2:9">
      <c r="B32" s="578" t="s">
        <v>568</v>
      </c>
      <c r="C32" s="581">
        <v>0</v>
      </c>
      <c r="D32" s="581">
        <v>100</v>
      </c>
      <c r="E32" s="581">
        <v>18</v>
      </c>
      <c r="F32" s="581">
        <v>17.100000000000001</v>
      </c>
      <c r="G32" s="581">
        <v>5.0000000000000001E-3</v>
      </c>
      <c r="H32" s="583">
        <v>0</v>
      </c>
      <c r="I32" s="581">
        <v>246.88</v>
      </c>
    </row>
    <row r="34" spans="2:9">
      <c r="B34" s="711" t="s">
        <v>570</v>
      </c>
      <c r="C34" s="711"/>
      <c r="D34" s="711"/>
      <c r="E34" s="711"/>
      <c r="F34" s="711"/>
      <c r="G34" s="711"/>
      <c r="H34" s="711"/>
      <c r="I34" s="711"/>
    </row>
    <row r="35" spans="2:9">
      <c r="B35" s="578"/>
      <c r="C35" s="579" t="s">
        <v>547</v>
      </c>
      <c r="D35" s="579" t="s">
        <v>548</v>
      </c>
      <c r="E35" s="579" t="s">
        <v>549</v>
      </c>
      <c r="F35" s="579" t="s">
        <v>550</v>
      </c>
      <c r="G35" s="579" t="s">
        <v>551</v>
      </c>
      <c r="H35" s="579" t="s">
        <v>552</v>
      </c>
      <c r="I35" s="579" t="s">
        <v>553</v>
      </c>
    </row>
    <row r="36" spans="2:9">
      <c r="B36" s="578" t="s">
        <v>571</v>
      </c>
      <c r="C36" s="582">
        <v>450</v>
      </c>
      <c r="D36" s="584">
        <v>100</v>
      </c>
      <c r="E36" s="582">
        <v>424</v>
      </c>
      <c r="F36" s="582">
        <v>106</v>
      </c>
      <c r="G36" s="582">
        <v>0.26</v>
      </c>
      <c r="H36" s="582">
        <v>104000</v>
      </c>
      <c r="I36" s="582">
        <v>5250</v>
      </c>
    </row>
    <row r="37" spans="2:9">
      <c r="B37" s="578" t="s">
        <v>572</v>
      </c>
      <c r="C37" s="582">
        <v>450</v>
      </c>
      <c r="D37" s="584">
        <v>100</v>
      </c>
      <c r="E37" s="582">
        <v>424</v>
      </c>
      <c r="F37" s="582">
        <v>106</v>
      </c>
      <c r="G37" s="582">
        <v>0.26</v>
      </c>
      <c r="H37" s="582">
        <v>104000</v>
      </c>
      <c r="I37" s="582">
        <v>5250</v>
      </c>
    </row>
    <row r="38" spans="2:9">
      <c r="B38" s="578" t="s">
        <v>573</v>
      </c>
      <c r="C38" s="582">
        <v>450</v>
      </c>
      <c r="D38" s="584">
        <v>100</v>
      </c>
      <c r="E38" s="582">
        <v>106</v>
      </c>
      <c r="F38" s="582">
        <v>26.5</v>
      </c>
      <c r="G38" s="582">
        <v>0.26</v>
      </c>
      <c r="H38" s="582">
        <v>104000</v>
      </c>
      <c r="I38" s="582">
        <v>5250</v>
      </c>
    </row>
    <row r="39" spans="2:9">
      <c r="B39" s="578" t="s">
        <v>574</v>
      </c>
      <c r="C39" s="582">
        <v>0</v>
      </c>
      <c r="D39" s="582">
        <v>170</v>
      </c>
      <c r="E39" s="582">
        <v>17.600000000000001</v>
      </c>
      <c r="F39" s="582">
        <v>4.4000000000000004</v>
      </c>
      <c r="G39" s="582">
        <v>1.0999999999999999E-2</v>
      </c>
      <c r="H39" s="582">
        <v>92000</v>
      </c>
      <c r="I39" s="582">
        <v>830</v>
      </c>
    </row>
    <row r="40" spans="2:9">
      <c r="B40" s="585"/>
      <c r="C40" s="585"/>
      <c r="D40" s="585"/>
      <c r="E40" s="585"/>
      <c r="F40" s="585"/>
      <c r="G40" s="585"/>
      <c r="H40" s="585"/>
      <c r="I40" s="585"/>
    </row>
    <row r="41" spans="2:9">
      <c r="B41" s="711" t="s">
        <v>575</v>
      </c>
      <c r="C41" s="711"/>
      <c r="D41" s="711"/>
      <c r="E41" s="711"/>
      <c r="F41" s="711"/>
      <c r="G41" s="711"/>
      <c r="H41" s="711"/>
      <c r="I41" s="711"/>
    </row>
    <row r="42" spans="2:9">
      <c r="B42" s="578"/>
      <c r="C42" s="579" t="s">
        <v>547</v>
      </c>
      <c r="D42" s="579" t="s">
        <v>548</v>
      </c>
      <c r="E42" s="579" t="s">
        <v>549</v>
      </c>
      <c r="F42" s="579" t="s">
        <v>550</v>
      </c>
      <c r="G42" s="579" t="s">
        <v>551</v>
      </c>
      <c r="H42" s="579" t="s">
        <v>552</v>
      </c>
      <c r="I42" s="579" t="s">
        <v>553</v>
      </c>
    </row>
    <row r="43" spans="2:9">
      <c r="B43" s="578" t="s">
        <v>571</v>
      </c>
      <c r="C43" s="582">
        <v>20</v>
      </c>
      <c r="D43" s="584">
        <v>60</v>
      </c>
      <c r="E43" s="582">
        <v>672</v>
      </c>
      <c r="F43" s="582">
        <v>168</v>
      </c>
      <c r="G43" s="582">
        <v>0.13</v>
      </c>
      <c r="H43" s="582">
        <v>0</v>
      </c>
      <c r="I43" s="582">
        <v>5250</v>
      </c>
    </row>
    <row r="44" spans="2:9">
      <c r="B44" s="578" t="s">
        <v>572</v>
      </c>
      <c r="C44" s="582">
        <v>20</v>
      </c>
      <c r="D44" s="584">
        <v>60</v>
      </c>
      <c r="E44" s="582">
        <v>672</v>
      </c>
      <c r="F44" s="582">
        <v>168</v>
      </c>
      <c r="G44" s="582">
        <v>0.13</v>
      </c>
      <c r="H44" s="582">
        <v>0</v>
      </c>
      <c r="I44" s="582">
        <v>5250</v>
      </c>
    </row>
    <row r="45" spans="2:9">
      <c r="B45" s="578" t="s">
        <v>573</v>
      </c>
      <c r="C45" s="582">
        <v>20</v>
      </c>
      <c r="D45" s="584">
        <v>60</v>
      </c>
      <c r="E45" s="582">
        <v>168</v>
      </c>
      <c r="F45" s="582">
        <v>42</v>
      </c>
      <c r="G45" s="582">
        <v>0.13</v>
      </c>
      <c r="H45" s="582">
        <v>0</v>
      </c>
      <c r="I45" s="582">
        <v>5250</v>
      </c>
    </row>
    <row r="46" spans="2:9">
      <c r="B46" s="578" t="s">
        <v>574</v>
      </c>
      <c r="C46" s="582">
        <v>0</v>
      </c>
      <c r="D46" s="582">
        <v>75</v>
      </c>
      <c r="E46" s="581">
        <v>20</v>
      </c>
      <c r="F46" s="582">
        <v>5</v>
      </c>
      <c r="G46" s="582">
        <v>1.2999999999999999E-2</v>
      </c>
      <c r="H46" s="582">
        <v>0</v>
      </c>
      <c r="I46" s="582">
        <v>950</v>
      </c>
    </row>
    <row r="48" spans="2:9">
      <c r="B48" s="711" t="s">
        <v>576</v>
      </c>
      <c r="C48" s="711"/>
      <c r="D48" s="711"/>
      <c r="E48" s="711"/>
      <c r="F48" s="711"/>
      <c r="G48" s="711"/>
      <c r="H48" s="711"/>
      <c r="I48" s="711"/>
    </row>
    <row r="49" spans="2:9">
      <c r="B49" s="578"/>
      <c r="C49" s="579" t="s">
        <v>547</v>
      </c>
      <c r="D49" s="579" t="s">
        <v>548</v>
      </c>
      <c r="E49" s="579" t="s">
        <v>549</v>
      </c>
      <c r="F49" s="579" t="s">
        <v>550</v>
      </c>
      <c r="G49" s="579" t="s">
        <v>551</v>
      </c>
      <c r="H49" s="579" t="s">
        <v>552</v>
      </c>
      <c r="I49" s="579" t="s">
        <v>553</v>
      </c>
    </row>
    <row r="50" spans="2:9">
      <c r="B50" s="578" t="s">
        <v>571</v>
      </c>
      <c r="C50" s="582">
        <v>450</v>
      </c>
      <c r="D50" s="584">
        <v>100</v>
      </c>
      <c r="E50" s="582">
        <v>424</v>
      </c>
      <c r="F50" s="582">
        <v>106</v>
      </c>
      <c r="G50" s="582">
        <v>0.26</v>
      </c>
      <c r="H50" s="582">
        <v>104000</v>
      </c>
      <c r="I50" s="582">
        <v>5250</v>
      </c>
    </row>
    <row r="51" spans="2:9">
      <c r="B51" s="578" t="s">
        <v>572</v>
      </c>
      <c r="C51" s="582">
        <v>450</v>
      </c>
      <c r="D51" s="584">
        <v>100</v>
      </c>
      <c r="E51" s="582">
        <v>424</v>
      </c>
      <c r="F51" s="582">
        <v>106</v>
      </c>
      <c r="G51" s="582">
        <v>0.26</v>
      </c>
      <c r="H51" s="582">
        <v>104000</v>
      </c>
      <c r="I51" s="582">
        <v>5250</v>
      </c>
    </row>
    <row r="52" spans="2:9">
      <c r="B52" s="578" t="s">
        <v>573</v>
      </c>
      <c r="C52" s="582">
        <v>450</v>
      </c>
      <c r="D52" s="584">
        <v>100</v>
      </c>
      <c r="E52" s="582">
        <v>106</v>
      </c>
      <c r="F52" s="582">
        <v>26.5</v>
      </c>
      <c r="G52" s="582">
        <v>0.26</v>
      </c>
      <c r="H52" s="582">
        <v>104000</v>
      </c>
      <c r="I52" s="582">
        <v>5250</v>
      </c>
    </row>
    <row r="53" spans="2:9">
      <c r="B53" s="578" t="s">
        <v>574</v>
      </c>
      <c r="C53" s="582">
        <v>0</v>
      </c>
      <c r="D53" s="582">
        <v>170</v>
      </c>
      <c r="E53" s="582">
        <v>17.600000000000001</v>
      </c>
      <c r="F53" s="582">
        <v>4.4000000000000004</v>
      </c>
      <c r="G53" s="582">
        <v>1.0999999999999999E-2</v>
      </c>
      <c r="H53" s="582">
        <v>92000</v>
      </c>
      <c r="I53" s="582">
        <v>830</v>
      </c>
    </row>
    <row r="54" spans="2:9">
      <c r="B54" s="585"/>
      <c r="C54" s="585"/>
      <c r="D54" s="585"/>
      <c r="E54" s="585"/>
      <c r="F54" s="585"/>
      <c r="G54" s="585"/>
      <c r="H54" s="585"/>
      <c r="I54" s="585"/>
    </row>
    <row r="55" spans="2:9">
      <c r="B55" s="711" t="s">
        <v>577</v>
      </c>
      <c r="C55" s="711"/>
      <c r="D55" s="711"/>
      <c r="E55" s="711"/>
      <c r="F55" s="711"/>
      <c r="G55" s="711"/>
      <c r="H55" s="711"/>
      <c r="I55" s="711"/>
    </row>
    <row r="56" spans="2:9">
      <c r="B56" s="578"/>
      <c r="C56" s="579" t="s">
        <v>547</v>
      </c>
      <c r="D56" s="579" t="s">
        <v>548</v>
      </c>
      <c r="E56" s="579" t="s">
        <v>549</v>
      </c>
      <c r="F56" s="579" t="s">
        <v>550</v>
      </c>
      <c r="G56" s="579" t="s">
        <v>551</v>
      </c>
      <c r="H56" s="579" t="s">
        <v>552</v>
      </c>
      <c r="I56" s="579" t="s">
        <v>553</v>
      </c>
    </row>
    <row r="57" spans="2:9">
      <c r="B57" s="578" t="s">
        <v>571</v>
      </c>
      <c r="C57" s="582">
        <v>20</v>
      </c>
      <c r="D57" s="584">
        <v>60</v>
      </c>
      <c r="E57" s="582">
        <v>672</v>
      </c>
      <c r="F57" s="582">
        <v>168</v>
      </c>
      <c r="G57" s="582">
        <v>0.13</v>
      </c>
      <c r="H57" s="582">
        <v>0</v>
      </c>
      <c r="I57" s="582">
        <v>5250</v>
      </c>
    </row>
    <row r="58" spans="2:9">
      <c r="B58" s="578" t="s">
        <v>572</v>
      </c>
      <c r="C58" s="582">
        <v>20</v>
      </c>
      <c r="D58" s="584">
        <v>60</v>
      </c>
      <c r="E58" s="582">
        <v>672</v>
      </c>
      <c r="F58" s="582">
        <v>168</v>
      </c>
      <c r="G58" s="582">
        <v>0.13</v>
      </c>
      <c r="H58" s="582">
        <v>0</v>
      </c>
      <c r="I58" s="582">
        <v>5250</v>
      </c>
    </row>
    <row r="59" spans="2:9">
      <c r="B59" s="578" t="s">
        <v>573</v>
      </c>
      <c r="C59" s="582">
        <v>20</v>
      </c>
      <c r="D59" s="584">
        <v>60</v>
      </c>
      <c r="E59" s="582">
        <v>168</v>
      </c>
      <c r="F59" s="582">
        <v>42</v>
      </c>
      <c r="G59" s="582">
        <v>0.13</v>
      </c>
      <c r="H59" s="582">
        <v>0</v>
      </c>
      <c r="I59" s="582">
        <v>5250</v>
      </c>
    </row>
    <row r="60" spans="2:9">
      <c r="B60" s="578" t="s">
        <v>574</v>
      </c>
      <c r="C60" s="582">
        <v>0</v>
      </c>
      <c r="D60" s="582">
        <v>75</v>
      </c>
      <c r="E60" s="581">
        <v>20</v>
      </c>
      <c r="F60" s="582">
        <v>5</v>
      </c>
      <c r="G60" s="582">
        <v>1.2999999999999999E-2</v>
      </c>
      <c r="H60" s="582">
        <v>0</v>
      </c>
      <c r="I60" s="582">
        <v>950</v>
      </c>
    </row>
    <row r="62" spans="2:9">
      <c r="B62" s="711" t="s">
        <v>578</v>
      </c>
      <c r="C62" s="711"/>
      <c r="D62" s="711"/>
      <c r="E62" s="711"/>
      <c r="F62" s="711"/>
      <c r="G62" s="711"/>
      <c r="H62" s="711"/>
      <c r="I62" s="711"/>
    </row>
    <row r="63" spans="2:9">
      <c r="B63" s="578"/>
      <c r="C63" s="579" t="s">
        <v>547</v>
      </c>
      <c r="D63" s="579" t="s">
        <v>548</v>
      </c>
      <c r="E63" s="579" t="s">
        <v>549</v>
      </c>
      <c r="F63" s="579" t="s">
        <v>550</v>
      </c>
      <c r="G63" s="579" t="s">
        <v>551</v>
      </c>
      <c r="H63" s="579" t="s">
        <v>552</v>
      </c>
      <c r="I63" s="579" t="s">
        <v>553</v>
      </c>
    </row>
    <row r="64" spans="2:9">
      <c r="B64" s="578" t="s">
        <v>571</v>
      </c>
      <c r="C64" s="582"/>
      <c r="D64" s="584"/>
      <c r="E64" s="582"/>
      <c r="F64" s="582"/>
      <c r="G64" s="582"/>
      <c r="H64" s="582"/>
      <c r="I64" s="582"/>
    </row>
    <row r="65" spans="2:9">
      <c r="B65" s="578" t="s">
        <v>572</v>
      </c>
      <c r="C65" s="582"/>
      <c r="D65" s="584"/>
      <c r="E65" s="582"/>
      <c r="F65" s="582"/>
      <c r="G65" s="582"/>
      <c r="H65" s="582"/>
      <c r="I65" s="582"/>
    </row>
    <row r="66" spans="2:9">
      <c r="B66" s="578" t="s">
        <v>573</v>
      </c>
      <c r="C66" s="582"/>
      <c r="D66" s="584"/>
      <c r="E66" s="582"/>
      <c r="F66" s="582"/>
      <c r="G66" s="582"/>
      <c r="H66" s="582"/>
      <c r="I66" s="582"/>
    </row>
    <row r="67" spans="2:9">
      <c r="B67" s="578" t="s">
        <v>574</v>
      </c>
      <c r="C67" s="582"/>
      <c r="D67" s="582"/>
      <c r="E67" s="582"/>
      <c r="F67" s="582"/>
      <c r="G67" s="582"/>
      <c r="H67" s="582"/>
      <c r="I67" s="582"/>
    </row>
    <row r="68" spans="2:9">
      <c r="B68" s="585"/>
      <c r="C68" s="585"/>
      <c r="D68" s="585"/>
      <c r="E68" s="585"/>
      <c r="F68" s="585"/>
      <c r="G68" s="585"/>
      <c r="H68" s="585"/>
      <c r="I68" s="585"/>
    </row>
    <row r="69" spans="2:9">
      <c r="B69" s="711" t="s">
        <v>579</v>
      </c>
      <c r="C69" s="711"/>
      <c r="D69" s="711"/>
      <c r="E69" s="711"/>
      <c r="F69" s="711"/>
      <c r="G69" s="711"/>
      <c r="H69" s="711"/>
      <c r="I69" s="711"/>
    </row>
    <row r="70" spans="2:9">
      <c r="B70" s="578"/>
      <c r="C70" s="579" t="s">
        <v>547</v>
      </c>
      <c r="D70" s="579" t="s">
        <v>548</v>
      </c>
      <c r="E70" s="579" t="s">
        <v>549</v>
      </c>
      <c r="F70" s="579" t="s">
        <v>550</v>
      </c>
      <c r="G70" s="579" t="s">
        <v>551</v>
      </c>
      <c r="H70" s="579" t="s">
        <v>552</v>
      </c>
      <c r="I70" s="579" t="s">
        <v>553</v>
      </c>
    </row>
    <row r="71" spans="2:9">
      <c r="B71" s="578" t="s">
        <v>571</v>
      </c>
      <c r="C71" s="582">
        <v>20</v>
      </c>
      <c r="D71" s="584">
        <v>60</v>
      </c>
      <c r="E71" s="582">
        <v>672</v>
      </c>
      <c r="F71" s="582">
        <v>168</v>
      </c>
      <c r="G71" s="582">
        <v>0.13</v>
      </c>
      <c r="H71" s="582">
        <v>0</v>
      </c>
      <c r="I71" s="582">
        <v>5250</v>
      </c>
    </row>
    <row r="72" spans="2:9">
      <c r="B72" s="578" t="s">
        <v>572</v>
      </c>
      <c r="C72" s="582">
        <v>20</v>
      </c>
      <c r="D72" s="584">
        <v>60</v>
      </c>
      <c r="E72" s="582">
        <v>672</v>
      </c>
      <c r="F72" s="582">
        <v>168</v>
      </c>
      <c r="G72" s="582">
        <v>0.13</v>
      </c>
      <c r="H72" s="582">
        <v>0</v>
      </c>
      <c r="I72" s="582">
        <v>5250</v>
      </c>
    </row>
    <row r="73" spans="2:9">
      <c r="B73" s="578" t="s">
        <v>573</v>
      </c>
      <c r="C73" s="582">
        <v>20</v>
      </c>
      <c r="D73" s="584">
        <v>60</v>
      </c>
      <c r="E73" s="582">
        <v>168</v>
      </c>
      <c r="F73" s="582">
        <v>42</v>
      </c>
      <c r="G73" s="582">
        <v>0.13</v>
      </c>
      <c r="H73" s="582">
        <v>0</v>
      </c>
      <c r="I73" s="582">
        <v>5250</v>
      </c>
    </row>
    <row r="74" spans="2:9">
      <c r="B74" s="578" t="s">
        <v>574</v>
      </c>
      <c r="C74" s="582">
        <v>0</v>
      </c>
      <c r="D74" s="582">
        <v>75</v>
      </c>
      <c r="E74" s="581">
        <v>20</v>
      </c>
      <c r="F74" s="582">
        <v>5</v>
      </c>
      <c r="G74" s="582">
        <v>1.2999999999999999E-2</v>
      </c>
      <c r="H74" s="582">
        <v>0</v>
      </c>
      <c r="I74" s="582">
        <v>950</v>
      </c>
    </row>
    <row r="76" spans="2:9">
      <c r="B76" s="711" t="s">
        <v>580</v>
      </c>
      <c r="C76" s="711"/>
      <c r="D76" s="711"/>
      <c r="E76" s="711"/>
      <c r="F76" s="711"/>
      <c r="G76" s="711"/>
      <c r="H76" s="711"/>
      <c r="I76" s="711"/>
    </row>
    <row r="77" spans="2:9">
      <c r="B77" s="578"/>
      <c r="C77" s="579" t="s">
        <v>547</v>
      </c>
      <c r="D77" s="579" t="s">
        <v>548</v>
      </c>
      <c r="E77" s="579" t="s">
        <v>549</v>
      </c>
      <c r="F77" s="579" t="s">
        <v>550</v>
      </c>
      <c r="G77" s="579" t="s">
        <v>551</v>
      </c>
      <c r="H77" s="579" t="s">
        <v>552</v>
      </c>
      <c r="I77" s="579" t="s">
        <v>553</v>
      </c>
    </row>
    <row r="78" spans="2:9">
      <c r="B78" s="578" t="s">
        <v>571</v>
      </c>
      <c r="C78" s="582">
        <v>450</v>
      </c>
      <c r="D78" s="584">
        <v>100</v>
      </c>
      <c r="E78" s="582">
        <v>424</v>
      </c>
      <c r="F78" s="582">
        <v>106</v>
      </c>
      <c r="G78" s="582">
        <v>0.26</v>
      </c>
      <c r="H78" s="582">
        <v>104000</v>
      </c>
      <c r="I78" s="582">
        <v>5250</v>
      </c>
    </row>
    <row r="79" spans="2:9">
      <c r="B79" s="578" t="s">
        <v>572</v>
      </c>
      <c r="C79" s="582">
        <v>450</v>
      </c>
      <c r="D79" s="584">
        <v>100</v>
      </c>
      <c r="E79" s="582">
        <v>424</v>
      </c>
      <c r="F79" s="582">
        <v>106</v>
      </c>
      <c r="G79" s="582">
        <v>0.26</v>
      </c>
      <c r="H79" s="582">
        <v>104000</v>
      </c>
      <c r="I79" s="582">
        <v>5250</v>
      </c>
    </row>
    <row r="80" spans="2:9">
      <c r="B80" s="578" t="s">
        <v>573</v>
      </c>
      <c r="C80" s="582">
        <v>450</v>
      </c>
      <c r="D80" s="584">
        <v>100</v>
      </c>
      <c r="E80" s="582">
        <v>106</v>
      </c>
      <c r="F80" s="582">
        <v>26.5</v>
      </c>
      <c r="G80" s="582">
        <v>0.26</v>
      </c>
      <c r="H80" s="582">
        <v>104000</v>
      </c>
      <c r="I80" s="582">
        <v>5250</v>
      </c>
    </row>
    <row r="81" spans="2:9">
      <c r="B81" s="578" t="s">
        <v>574</v>
      </c>
      <c r="C81" s="582">
        <v>0</v>
      </c>
      <c r="D81" s="582">
        <v>170</v>
      </c>
      <c r="E81" s="582">
        <v>17.600000000000001</v>
      </c>
      <c r="F81" s="582">
        <v>4.4000000000000004</v>
      </c>
      <c r="G81" s="582">
        <v>1.0999999999999999E-2</v>
      </c>
      <c r="H81" s="582">
        <v>92000</v>
      </c>
      <c r="I81" s="582">
        <v>830</v>
      </c>
    </row>
    <row r="82" spans="2:9">
      <c r="B82" s="585"/>
      <c r="C82" s="585"/>
      <c r="D82" s="585"/>
      <c r="E82" s="585"/>
      <c r="F82" s="585"/>
      <c r="G82" s="585"/>
      <c r="H82" s="585"/>
      <c r="I82" s="585"/>
    </row>
    <row r="83" spans="2:9">
      <c r="B83" s="711" t="s">
        <v>581</v>
      </c>
      <c r="C83" s="711"/>
      <c r="D83" s="711"/>
      <c r="E83" s="711"/>
      <c r="F83" s="711"/>
      <c r="G83" s="711"/>
      <c r="H83" s="711"/>
      <c r="I83" s="711"/>
    </row>
    <row r="84" spans="2:9">
      <c r="B84" s="578"/>
      <c r="C84" s="579" t="s">
        <v>547</v>
      </c>
      <c r="D84" s="579" t="s">
        <v>548</v>
      </c>
      <c r="E84" s="579" t="s">
        <v>549</v>
      </c>
      <c r="F84" s="579" t="s">
        <v>550</v>
      </c>
      <c r="G84" s="579" t="s">
        <v>551</v>
      </c>
      <c r="H84" s="579" t="s">
        <v>552</v>
      </c>
      <c r="I84" s="579" t="s">
        <v>553</v>
      </c>
    </row>
    <row r="85" spans="2:9">
      <c r="B85" s="578" t="s">
        <v>571</v>
      </c>
      <c r="C85" s="582">
        <v>20</v>
      </c>
      <c r="D85" s="584">
        <v>60</v>
      </c>
      <c r="E85" s="582">
        <v>672</v>
      </c>
      <c r="F85" s="582">
        <v>168</v>
      </c>
      <c r="G85" s="582">
        <v>0.13</v>
      </c>
      <c r="H85" s="582">
        <v>0</v>
      </c>
      <c r="I85" s="582">
        <v>5250</v>
      </c>
    </row>
    <row r="86" spans="2:9">
      <c r="B86" s="578" t="s">
        <v>572</v>
      </c>
      <c r="C86" s="582">
        <v>20</v>
      </c>
      <c r="D86" s="584">
        <v>60</v>
      </c>
      <c r="E86" s="582">
        <v>672</v>
      </c>
      <c r="F86" s="582">
        <v>168</v>
      </c>
      <c r="G86" s="582">
        <v>0.13</v>
      </c>
      <c r="H86" s="582">
        <v>0</v>
      </c>
      <c r="I86" s="582">
        <v>5250</v>
      </c>
    </row>
    <row r="87" spans="2:9">
      <c r="B87" s="578" t="s">
        <v>573</v>
      </c>
      <c r="C87" s="582">
        <v>20</v>
      </c>
      <c r="D87" s="584">
        <v>60</v>
      </c>
      <c r="E87" s="582">
        <v>168</v>
      </c>
      <c r="F87" s="582">
        <v>42</v>
      </c>
      <c r="G87" s="582">
        <v>0.13</v>
      </c>
      <c r="H87" s="582">
        <v>0</v>
      </c>
      <c r="I87" s="582">
        <v>5250</v>
      </c>
    </row>
    <row r="88" spans="2:9">
      <c r="B88" s="578" t="s">
        <v>574</v>
      </c>
      <c r="C88" s="582">
        <v>0</v>
      </c>
      <c r="D88" s="582">
        <v>75</v>
      </c>
      <c r="E88" s="581">
        <v>20</v>
      </c>
      <c r="F88" s="582">
        <v>5</v>
      </c>
      <c r="G88" s="582">
        <v>1.2999999999999999E-2</v>
      </c>
      <c r="H88" s="582">
        <v>0</v>
      </c>
      <c r="I88" s="582">
        <v>950</v>
      </c>
    </row>
    <row r="90" spans="2:9">
      <c r="B90" s="711" t="s">
        <v>582</v>
      </c>
      <c r="C90" s="711"/>
      <c r="D90" s="711"/>
      <c r="E90" s="711"/>
      <c r="F90" s="711"/>
      <c r="G90" s="711"/>
      <c r="H90" s="711"/>
      <c r="I90" s="711"/>
    </row>
    <row r="91" spans="2:9">
      <c r="B91" s="578"/>
      <c r="C91" s="579" t="s">
        <v>547</v>
      </c>
      <c r="D91" s="579" t="s">
        <v>548</v>
      </c>
      <c r="E91" s="579" t="s">
        <v>549</v>
      </c>
      <c r="F91" s="579" t="s">
        <v>550</v>
      </c>
      <c r="G91" s="579" t="s">
        <v>551</v>
      </c>
      <c r="H91" s="579" t="s">
        <v>552</v>
      </c>
      <c r="I91" s="579" t="s">
        <v>553</v>
      </c>
    </row>
    <row r="92" spans="2:9">
      <c r="B92" s="578" t="s">
        <v>571</v>
      </c>
      <c r="C92" s="582">
        <v>450</v>
      </c>
      <c r="D92" s="584">
        <v>100</v>
      </c>
      <c r="E92" s="582">
        <v>424</v>
      </c>
      <c r="F92" s="582">
        <v>106</v>
      </c>
      <c r="G92" s="582">
        <v>0.26</v>
      </c>
      <c r="H92" s="582">
        <v>104000</v>
      </c>
      <c r="I92" s="582">
        <v>5250</v>
      </c>
    </row>
    <row r="93" spans="2:9">
      <c r="B93" s="578" t="s">
        <v>572</v>
      </c>
      <c r="C93" s="582">
        <v>450</v>
      </c>
      <c r="D93" s="584">
        <v>100</v>
      </c>
      <c r="E93" s="582">
        <v>424</v>
      </c>
      <c r="F93" s="582">
        <v>106</v>
      </c>
      <c r="G93" s="582">
        <v>0.26</v>
      </c>
      <c r="H93" s="582">
        <v>104000</v>
      </c>
      <c r="I93" s="582">
        <v>5250</v>
      </c>
    </row>
    <row r="94" spans="2:9">
      <c r="B94" s="578" t="s">
        <v>573</v>
      </c>
      <c r="C94" s="582">
        <v>450</v>
      </c>
      <c r="D94" s="584">
        <v>100</v>
      </c>
      <c r="E94" s="582">
        <v>106</v>
      </c>
      <c r="F94" s="582">
        <v>26.5</v>
      </c>
      <c r="G94" s="582">
        <v>0.26</v>
      </c>
      <c r="H94" s="582">
        <v>104000</v>
      </c>
      <c r="I94" s="582">
        <v>5250</v>
      </c>
    </row>
    <row r="95" spans="2:9">
      <c r="B95" s="578" t="s">
        <v>574</v>
      </c>
      <c r="C95" s="582">
        <v>0</v>
      </c>
      <c r="D95" s="582">
        <v>170</v>
      </c>
      <c r="E95" s="582">
        <v>17.600000000000001</v>
      </c>
      <c r="F95" s="582">
        <v>4.4000000000000004</v>
      </c>
      <c r="G95" s="582">
        <v>1.0999999999999999E-2</v>
      </c>
      <c r="H95" s="582">
        <v>92000</v>
      </c>
      <c r="I95" s="582">
        <v>830</v>
      </c>
    </row>
    <row r="96" spans="2:9">
      <c r="B96" s="585"/>
      <c r="C96" s="585"/>
      <c r="D96" s="585"/>
      <c r="E96" s="585"/>
      <c r="F96" s="585"/>
      <c r="G96" s="585"/>
      <c r="H96" s="585"/>
      <c r="I96" s="585"/>
    </row>
    <row r="97" spans="2:9">
      <c r="B97" s="711" t="s">
        <v>583</v>
      </c>
      <c r="C97" s="711"/>
      <c r="D97" s="711"/>
      <c r="E97" s="711"/>
      <c r="F97" s="711"/>
      <c r="G97" s="711"/>
      <c r="H97" s="711"/>
      <c r="I97" s="711"/>
    </row>
    <row r="98" spans="2:9">
      <c r="B98" s="578"/>
      <c r="C98" s="579" t="s">
        <v>547</v>
      </c>
      <c r="D98" s="579" t="s">
        <v>548</v>
      </c>
      <c r="E98" s="579" t="s">
        <v>549</v>
      </c>
      <c r="F98" s="579" t="s">
        <v>550</v>
      </c>
      <c r="G98" s="579" t="s">
        <v>551</v>
      </c>
      <c r="H98" s="579" t="s">
        <v>552</v>
      </c>
      <c r="I98" s="579" t="s">
        <v>553</v>
      </c>
    </row>
    <row r="99" spans="2:9">
      <c r="B99" s="578" t="s">
        <v>571</v>
      </c>
      <c r="C99" s="582">
        <v>20</v>
      </c>
      <c r="D99" s="584">
        <v>60</v>
      </c>
      <c r="E99" s="582">
        <v>672</v>
      </c>
      <c r="F99" s="582">
        <v>168</v>
      </c>
      <c r="G99" s="582">
        <v>0.13</v>
      </c>
      <c r="H99" s="582">
        <v>0</v>
      </c>
      <c r="I99" s="582">
        <v>5250</v>
      </c>
    </row>
    <row r="100" spans="2:9">
      <c r="B100" s="578" t="s">
        <v>572</v>
      </c>
      <c r="C100" s="582">
        <v>20</v>
      </c>
      <c r="D100" s="584">
        <v>60</v>
      </c>
      <c r="E100" s="582">
        <v>672</v>
      </c>
      <c r="F100" s="582">
        <v>168</v>
      </c>
      <c r="G100" s="582">
        <v>0.13</v>
      </c>
      <c r="H100" s="582">
        <v>0</v>
      </c>
      <c r="I100" s="582">
        <v>5250</v>
      </c>
    </row>
    <row r="101" spans="2:9">
      <c r="B101" s="578" t="s">
        <v>573</v>
      </c>
      <c r="C101" s="582">
        <v>20</v>
      </c>
      <c r="D101" s="584">
        <v>60</v>
      </c>
      <c r="E101" s="582">
        <v>168</v>
      </c>
      <c r="F101" s="582">
        <v>42</v>
      </c>
      <c r="G101" s="582">
        <v>0.13</v>
      </c>
      <c r="H101" s="582">
        <v>0</v>
      </c>
      <c r="I101" s="582">
        <v>5250</v>
      </c>
    </row>
    <row r="102" spans="2:9">
      <c r="B102" s="578" t="s">
        <v>574</v>
      </c>
      <c r="C102" s="582">
        <v>0</v>
      </c>
      <c r="D102" s="582">
        <v>75</v>
      </c>
      <c r="E102" s="581">
        <v>20</v>
      </c>
      <c r="F102" s="582">
        <v>5</v>
      </c>
      <c r="G102" s="582">
        <v>1.2999999999999999E-2</v>
      </c>
      <c r="H102" s="582">
        <v>0</v>
      </c>
      <c r="I102" s="582">
        <v>5250</v>
      </c>
    </row>
    <row r="104" spans="2:9">
      <c r="B104" s="579" t="s">
        <v>584</v>
      </c>
      <c r="C104" s="705" t="s">
        <v>585</v>
      </c>
      <c r="D104" s="706"/>
      <c r="E104" s="706"/>
      <c r="F104" s="706"/>
      <c r="G104" s="706"/>
      <c r="H104" s="706"/>
      <c r="I104" s="707"/>
    </row>
    <row r="105" spans="2:9">
      <c r="B105" s="578" t="s">
        <v>586</v>
      </c>
      <c r="C105" s="708">
        <v>0.54</v>
      </c>
      <c r="D105" s="709"/>
      <c r="E105" s="709"/>
      <c r="F105" s="709"/>
      <c r="G105" s="709"/>
      <c r="H105" s="709"/>
      <c r="I105" s="710"/>
    </row>
    <row r="106" spans="2:9">
      <c r="B106" s="578" t="s">
        <v>587</v>
      </c>
      <c r="C106" s="708">
        <v>0.46800000000000003</v>
      </c>
      <c r="D106" s="709"/>
      <c r="E106" s="709"/>
      <c r="F106" s="709"/>
      <c r="G106" s="709"/>
      <c r="H106" s="709"/>
      <c r="I106" s="710"/>
    </row>
  </sheetData>
  <mergeCells count="15">
    <mergeCell ref="B55:I55"/>
    <mergeCell ref="B8:I8"/>
    <mergeCell ref="B21:I21"/>
    <mergeCell ref="B34:I34"/>
    <mergeCell ref="B41:I41"/>
    <mergeCell ref="B48:I48"/>
    <mergeCell ref="C104:I104"/>
    <mergeCell ref="C105:I105"/>
    <mergeCell ref="C106:I106"/>
    <mergeCell ref="B62:I62"/>
    <mergeCell ref="B69:I69"/>
    <mergeCell ref="B76:I76"/>
    <mergeCell ref="B83:I83"/>
    <mergeCell ref="B90:I90"/>
    <mergeCell ref="B97:I9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5"/>
  <sheetViews>
    <sheetView showGridLines="0" view="pageBreakPreview" zoomScale="92" zoomScaleNormal="100" zoomScaleSheetLayoutView="92" workbookViewId="0">
      <selection activeCell="T21" sqref="T21"/>
    </sheetView>
  </sheetViews>
  <sheetFormatPr defaultRowHeight="14.4"/>
  <cols>
    <col min="1" max="1" width="8.88671875" style="1"/>
    <col min="2" max="2" width="17.6640625" style="1" customWidth="1"/>
    <col min="3" max="11" width="8.88671875" style="1"/>
    <col min="12" max="12" width="11.44140625" style="1" customWidth="1"/>
    <col min="13" max="13" width="11.88671875" style="1" customWidth="1"/>
    <col min="14" max="16384" width="8.88671875" style="1"/>
  </cols>
  <sheetData>
    <row r="1" spans="2:24" ht="15" thickBot="1"/>
    <row r="2" spans="2:24" ht="15" thickBot="1">
      <c r="B2" s="733" t="s">
        <v>197</v>
      </c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734"/>
      <c r="U2" s="735"/>
    </row>
    <row r="3" spans="2:24" ht="15" customHeight="1" thickBot="1">
      <c r="B3" s="742"/>
      <c r="C3" s="742"/>
      <c r="D3" s="742"/>
      <c r="V3" s="2"/>
    </row>
    <row r="4" spans="2:24" ht="15" thickBot="1">
      <c r="B4" s="717" t="s">
        <v>3</v>
      </c>
      <c r="C4" s="718"/>
      <c r="D4" s="718"/>
      <c r="E4" s="718"/>
      <c r="F4" s="718"/>
      <c r="G4" s="718"/>
      <c r="H4" s="718"/>
      <c r="I4" s="719"/>
      <c r="J4" s="3"/>
      <c r="K4" s="3"/>
      <c r="L4" s="3"/>
      <c r="M4" s="3"/>
      <c r="N4" s="4"/>
      <c r="O4" s="717" t="s">
        <v>4</v>
      </c>
      <c r="P4" s="718"/>
      <c r="Q4" s="718"/>
      <c r="R4" s="718"/>
      <c r="S4" s="718"/>
      <c r="T4" s="718"/>
      <c r="U4" s="719"/>
      <c r="V4" s="5"/>
      <c r="W4" s="17"/>
    </row>
    <row r="5" spans="2:24">
      <c r="B5" s="6" t="s">
        <v>5</v>
      </c>
      <c r="C5" s="7">
        <v>2011</v>
      </c>
      <c r="D5" s="8">
        <v>2012</v>
      </c>
      <c r="E5" s="8">
        <v>2013</v>
      </c>
      <c r="F5" s="8">
        <v>2014</v>
      </c>
      <c r="G5" s="9">
        <v>2015</v>
      </c>
      <c r="H5" s="9">
        <v>2016</v>
      </c>
      <c r="I5" s="511">
        <v>2017</v>
      </c>
      <c r="J5" s="712" t="s">
        <v>6</v>
      </c>
      <c r="K5" s="713"/>
      <c r="L5" s="713"/>
      <c r="M5" s="714"/>
      <c r="O5" s="715" t="s">
        <v>5</v>
      </c>
      <c r="P5" s="716"/>
      <c r="Q5" s="289">
        <v>2018</v>
      </c>
      <c r="R5" s="289">
        <v>2019</v>
      </c>
      <c r="S5" s="289">
        <v>2020</v>
      </c>
      <c r="T5" s="289">
        <v>2021</v>
      </c>
      <c r="U5" s="287">
        <v>2022</v>
      </c>
      <c r="V5" s="515">
        <v>2023</v>
      </c>
      <c r="W5" s="513"/>
      <c r="X5" s="286"/>
    </row>
    <row r="6" spans="2:24" ht="15" thickBot="1">
      <c r="B6" s="12" t="s">
        <v>7</v>
      </c>
      <c r="C6" s="13">
        <v>10410</v>
      </c>
      <c r="D6" s="14">
        <v>10426</v>
      </c>
      <c r="E6" s="14">
        <v>10375</v>
      </c>
      <c r="F6" s="14">
        <v>10395</v>
      </c>
      <c r="G6" s="14">
        <v>10407</v>
      </c>
      <c r="H6" s="510">
        <v>10346</v>
      </c>
      <c r="I6" s="15">
        <v>10322</v>
      </c>
      <c r="J6" s="727">
        <f>(I6/C6)^(1/7)-1</f>
        <v>-1.2120281712986181E-3</v>
      </c>
      <c r="K6" s="728"/>
      <c r="L6" s="728"/>
      <c r="M6" s="729"/>
      <c r="O6" s="730" t="s">
        <v>7</v>
      </c>
      <c r="P6" s="732"/>
      <c r="Q6" s="16">
        <f>INT(H6*(1+J6))</f>
        <v>10333</v>
      </c>
      <c r="R6" s="16">
        <f>INT(Q6*(1+J6))</f>
        <v>10320</v>
      </c>
      <c r="S6" s="16">
        <f>INT(R6*(1+J6))</f>
        <v>10307</v>
      </c>
      <c r="T6" s="16">
        <f>INT(S6*(1+J6))</f>
        <v>10294</v>
      </c>
      <c r="U6" s="288">
        <f>INT(T6*(1+J6))</f>
        <v>10281</v>
      </c>
      <c r="V6" s="516">
        <f>INT(U6*(1+J6))</f>
        <v>10268</v>
      </c>
      <c r="W6" s="514"/>
    </row>
    <row r="7" spans="2:24">
      <c r="V7" s="2"/>
      <c r="W7" s="17"/>
    </row>
    <row r="8" spans="2:24">
      <c r="V8" s="2"/>
    </row>
    <row r="9" spans="2:24" ht="15" thickBot="1">
      <c r="V9" s="17"/>
    </row>
    <row r="10" spans="2:24" ht="15" thickBot="1">
      <c r="B10" s="717" t="s">
        <v>8</v>
      </c>
      <c r="C10" s="740"/>
      <c r="D10" s="740"/>
      <c r="E10" s="740"/>
      <c r="F10" s="740"/>
      <c r="G10" s="740"/>
      <c r="H10" s="740"/>
      <c r="I10" s="741"/>
      <c r="J10" s="3"/>
      <c r="K10" s="3"/>
      <c r="L10" s="3"/>
      <c r="M10" s="3"/>
      <c r="O10" s="739" t="s">
        <v>9</v>
      </c>
      <c r="P10" s="740"/>
      <c r="Q10" s="740"/>
      <c r="R10" s="740"/>
      <c r="S10" s="740"/>
      <c r="T10" s="740"/>
      <c r="U10" s="741"/>
    </row>
    <row r="11" spans="2:24">
      <c r="B11" s="6" t="s">
        <v>5</v>
      </c>
      <c r="C11" s="7">
        <v>2011</v>
      </c>
      <c r="D11" s="8">
        <v>2012</v>
      </c>
      <c r="E11" s="8">
        <v>2013</v>
      </c>
      <c r="F11" s="8">
        <v>2014</v>
      </c>
      <c r="G11" s="9">
        <v>2015</v>
      </c>
      <c r="H11" s="512">
        <v>2016</v>
      </c>
      <c r="I11" s="511">
        <v>2017</v>
      </c>
      <c r="J11" s="712" t="s">
        <v>6</v>
      </c>
      <c r="K11" s="713"/>
      <c r="L11" s="713"/>
      <c r="M11" s="714"/>
      <c r="O11" s="715" t="s">
        <v>5</v>
      </c>
      <c r="P11" s="716"/>
      <c r="Q11" s="290">
        <v>2017</v>
      </c>
      <c r="R11" s="290">
        <v>2018</v>
      </c>
      <c r="S11" s="290">
        <v>2019</v>
      </c>
      <c r="T11" s="290">
        <v>2020</v>
      </c>
      <c r="U11" s="291">
        <v>2021</v>
      </c>
      <c r="V11" s="293">
        <v>2022</v>
      </c>
      <c r="W11" s="294">
        <v>2023</v>
      </c>
    </row>
    <row r="12" spans="2:24" ht="15" thickBot="1">
      <c r="B12" s="12" t="s">
        <v>7</v>
      </c>
      <c r="C12" s="13">
        <v>3852</v>
      </c>
      <c r="D12" s="14">
        <v>3887</v>
      </c>
      <c r="E12" s="14">
        <v>3909</v>
      </c>
      <c r="F12" s="14">
        <v>3933</v>
      </c>
      <c r="G12" s="14">
        <v>3962</v>
      </c>
      <c r="H12" s="14">
        <v>3993</v>
      </c>
      <c r="I12" s="15"/>
      <c r="J12" s="727">
        <f>(H12/C12)^(1/6)-1</f>
        <v>6.0097086309141012E-3</v>
      </c>
      <c r="K12" s="728"/>
      <c r="L12" s="728"/>
      <c r="M12" s="729"/>
      <c r="O12" s="730" t="s">
        <v>7</v>
      </c>
      <c r="P12" s="732"/>
      <c r="Q12" s="16">
        <f>INT(G12*(1+J12))</f>
        <v>3985</v>
      </c>
      <c r="R12" s="16">
        <f>INT(Q12*(1+J12))</f>
        <v>4008</v>
      </c>
      <c r="S12" s="16">
        <f>INT(R12*(1+J12))</f>
        <v>4032</v>
      </c>
      <c r="T12" s="16">
        <f>INT(S12*(1+J12))</f>
        <v>4056</v>
      </c>
      <c r="U12" s="288">
        <f>INT(T12*(1+J12))</f>
        <v>4080</v>
      </c>
      <c r="V12" s="295">
        <f>INT(U12*(1+J12))</f>
        <v>4104</v>
      </c>
      <c r="W12" s="296">
        <f>INT(V12*(1+J12))</f>
        <v>4128</v>
      </c>
    </row>
    <row r="14" spans="2:24">
      <c r="W14" s="17"/>
    </row>
    <row r="15" spans="2:24" ht="15" thickBot="1">
      <c r="B15" s="722" t="s">
        <v>10</v>
      </c>
      <c r="C15" s="723"/>
      <c r="D15" s="723"/>
      <c r="E15" s="723"/>
      <c r="F15" s="723"/>
      <c r="G15" s="723"/>
      <c r="H15" s="723"/>
      <c r="I15" s="486"/>
      <c r="J15" s="3"/>
      <c r="K15" s="3"/>
      <c r="L15" s="3"/>
      <c r="M15" s="3"/>
      <c r="O15" s="722" t="s">
        <v>11</v>
      </c>
      <c r="P15" s="723"/>
      <c r="Q15" s="721"/>
      <c r="R15" s="721"/>
      <c r="S15" s="721"/>
      <c r="T15" s="721"/>
      <c r="U15" s="721"/>
      <c r="W15" s="17"/>
    </row>
    <row r="16" spans="2:24">
      <c r="B16" s="6" t="s">
        <v>5</v>
      </c>
      <c r="C16" s="7">
        <v>2011</v>
      </c>
      <c r="D16" s="8">
        <v>2012</v>
      </c>
      <c r="E16" s="8">
        <v>2013</v>
      </c>
      <c r="F16" s="8">
        <v>2014</v>
      </c>
      <c r="G16" s="9">
        <v>2015</v>
      </c>
      <c r="H16" s="8">
        <v>2016</v>
      </c>
      <c r="I16" s="517">
        <v>2017</v>
      </c>
      <c r="J16" s="712" t="s">
        <v>6</v>
      </c>
      <c r="K16" s="713"/>
      <c r="L16" s="713"/>
      <c r="M16" s="714"/>
      <c r="O16" s="725" t="s">
        <v>5</v>
      </c>
      <c r="P16" s="726"/>
      <c r="Q16" s="297">
        <v>2018</v>
      </c>
      <c r="R16" s="289">
        <v>2019</v>
      </c>
      <c r="S16" s="289">
        <v>2020</v>
      </c>
      <c r="T16" s="289">
        <v>2021</v>
      </c>
      <c r="U16" s="289">
        <v>2022</v>
      </c>
      <c r="V16" s="294">
        <v>2023</v>
      </c>
      <c r="W16" s="519"/>
    </row>
    <row r="17" spans="2:24" ht="15" thickBot="1">
      <c r="B17" s="12" t="s">
        <v>7</v>
      </c>
      <c r="C17" s="13">
        <v>2425</v>
      </c>
      <c r="D17" s="14">
        <v>2459</v>
      </c>
      <c r="E17" s="14">
        <v>2479</v>
      </c>
      <c r="F17" s="14">
        <v>2503</v>
      </c>
      <c r="G17" s="14">
        <v>2530</v>
      </c>
      <c r="H17" s="14">
        <v>2557</v>
      </c>
      <c r="I17" s="518">
        <v>2529</v>
      </c>
      <c r="J17" s="727">
        <f>(I17/C17)^(1/6)-1</f>
        <v>7.0232889702970258E-3</v>
      </c>
      <c r="K17" s="728"/>
      <c r="L17" s="728"/>
      <c r="M17" s="729"/>
      <c r="O17" s="730" t="s">
        <v>7</v>
      </c>
      <c r="P17" s="731"/>
      <c r="Q17" s="298">
        <f>INT(H17*(1+J17))</f>
        <v>2574</v>
      </c>
      <c r="R17" s="16">
        <f>INT(Q17*(1+J17))</f>
        <v>2592</v>
      </c>
      <c r="S17" s="16">
        <f>INT(R17*(1+J17))</f>
        <v>2610</v>
      </c>
      <c r="T17" s="16">
        <f>INT(S17*(1+J17))</f>
        <v>2628</v>
      </c>
      <c r="U17" s="16">
        <f>INT(T17*(1+J17))</f>
        <v>2646</v>
      </c>
      <c r="V17" s="296">
        <f>INT(U17*(1+J17))</f>
        <v>2664</v>
      </c>
      <c r="W17" s="520"/>
    </row>
    <row r="18" spans="2:24" ht="15" thickBot="1">
      <c r="E18" s="509"/>
      <c r="W18" s="17"/>
    </row>
    <row r="19" spans="2:24" ht="15" thickBot="1">
      <c r="B19" s="717" t="s">
        <v>12</v>
      </c>
      <c r="C19" s="740"/>
      <c r="D19" s="740"/>
      <c r="E19" s="740"/>
      <c r="F19" s="740"/>
      <c r="G19" s="740"/>
      <c r="H19" s="740"/>
      <c r="I19" s="741"/>
      <c r="J19" s="3"/>
      <c r="K19" s="3"/>
      <c r="L19" s="3"/>
      <c r="M19" s="3"/>
      <c r="O19" s="722" t="s">
        <v>11</v>
      </c>
      <c r="P19" s="723"/>
      <c r="Q19" s="723"/>
      <c r="R19" s="723"/>
      <c r="S19" s="723"/>
      <c r="T19" s="723"/>
      <c r="U19" s="723"/>
    </row>
    <row r="20" spans="2:24">
      <c r="B20" s="521" t="s">
        <v>5</v>
      </c>
      <c r="C20" s="7">
        <v>2011</v>
      </c>
      <c r="D20" s="8">
        <v>2012</v>
      </c>
      <c r="E20" s="8">
        <v>2013</v>
      </c>
      <c r="F20" s="8">
        <v>2014</v>
      </c>
      <c r="G20" s="9">
        <v>2015</v>
      </c>
      <c r="H20" s="512">
        <v>2016</v>
      </c>
      <c r="I20" s="522">
        <v>2017</v>
      </c>
      <c r="J20" s="712" t="s">
        <v>6</v>
      </c>
      <c r="K20" s="713"/>
      <c r="L20" s="713"/>
      <c r="M20" s="714"/>
      <c r="O20" s="725" t="s">
        <v>5</v>
      </c>
      <c r="P20" s="738"/>
      <c r="Q20" s="11">
        <v>2017</v>
      </c>
      <c r="R20" s="11">
        <v>2018</v>
      </c>
      <c r="S20" s="11">
        <v>2019</v>
      </c>
      <c r="T20" s="11">
        <v>2020</v>
      </c>
      <c r="U20" s="287">
        <v>2021</v>
      </c>
      <c r="V20" s="292">
        <v>2022</v>
      </c>
      <c r="W20" s="292">
        <v>2023</v>
      </c>
    </row>
    <row r="21" spans="2:24" ht="15" thickBot="1">
      <c r="B21" s="12" t="s">
        <v>7</v>
      </c>
      <c r="C21" s="13">
        <v>283944</v>
      </c>
      <c r="D21" s="14">
        <v>288644</v>
      </c>
      <c r="E21" s="14">
        <v>291312</v>
      </c>
      <c r="F21" s="14">
        <v>294423</v>
      </c>
      <c r="G21" s="510">
        <v>298392</v>
      </c>
      <c r="H21" s="14">
        <v>302009</v>
      </c>
      <c r="I21" s="518"/>
      <c r="J21" s="727">
        <f>(H21/C21)^(1/6)-1</f>
        <v>1.033298412691841E-2</v>
      </c>
      <c r="K21" s="728"/>
      <c r="L21" s="728"/>
      <c r="M21" s="729"/>
      <c r="O21" s="730" t="s">
        <v>7</v>
      </c>
      <c r="P21" s="732"/>
      <c r="Q21" s="16">
        <f>INT(H21*(1+J21))</f>
        <v>305129</v>
      </c>
      <c r="R21" s="16">
        <f>INT(Q21*(1+J21))</f>
        <v>308281</v>
      </c>
      <c r="S21" s="16">
        <f>INT(R21*(1+J21))</f>
        <v>311466</v>
      </c>
      <c r="T21" s="16">
        <f>INT(S21*(1+J21))</f>
        <v>314684</v>
      </c>
      <c r="U21" s="288">
        <f>INT(T21*(1+J21))</f>
        <v>317935</v>
      </c>
      <c r="V21" s="299">
        <f>INT(U21*(1+J21))</f>
        <v>321220</v>
      </c>
      <c r="W21" s="299">
        <f>INT(V21*(1+J21))</f>
        <v>324539</v>
      </c>
    </row>
    <row r="22" spans="2:24">
      <c r="F22" s="523"/>
    </row>
    <row r="24" spans="2:24" ht="15" thickBot="1">
      <c r="B24" s="722" t="s">
        <v>13</v>
      </c>
      <c r="C24" s="723"/>
      <c r="D24" s="723"/>
      <c r="E24" s="723"/>
      <c r="F24" s="723"/>
      <c r="G24" s="723"/>
      <c r="H24" s="723"/>
      <c r="I24" s="486"/>
      <c r="J24" s="3"/>
      <c r="K24" s="3"/>
      <c r="L24" s="3"/>
      <c r="M24" s="3"/>
      <c r="O24" s="724"/>
      <c r="P24" s="724"/>
      <c r="Q24" s="724"/>
      <c r="R24" s="724"/>
      <c r="S24" s="724"/>
      <c r="T24" s="724"/>
      <c r="U24" s="724"/>
      <c r="V24" s="303"/>
      <c r="W24" s="303"/>
    </row>
    <row r="25" spans="2:24">
      <c r="B25" s="6" t="s">
        <v>5</v>
      </c>
      <c r="C25" s="7">
        <v>2011</v>
      </c>
      <c r="D25" s="8">
        <v>2012</v>
      </c>
      <c r="E25" s="8">
        <v>2013</v>
      </c>
      <c r="F25" s="8">
        <v>2014</v>
      </c>
      <c r="G25" s="9">
        <v>2015</v>
      </c>
      <c r="H25" s="8">
        <v>2016</v>
      </c>
      <c r="I25" s="517">
        <v>2017</v>
      </c>
      <c r="J25" s="712" t="s">
        <v>6</v>
      </c>
      <c r="K25" s="713"/>
      <c r="L25" s="713"/>
      <c r="M25" s="714"/>
      <c r="O25" s="736"/>
      <c r="P25" s="736"/>
      <c r="Q25" s="301"/>
      <c r="R25" s="301"/>
      <c r="S25" s="301"/>
      <c r="T25" s="301"/>
      <c r="U25" s="301"/>
      <c r="V25" s="304"/>
      <c r="W25" s="304"/>
    </row>
    <row r="26" spans="2:24" ht="15" thickBot="1">
      <c r="B26" s="12" t="s">
        <v>7</v>
      </c>
      <c r="C26" s="18">
        <v>73.7</v>
      </c>
      <c r="D26" s="19">
        <v>74.3</v>
      </c>
      <c r="E26" s="19">
        <v>74.5</v>
      </c>
      <c r="F26" s="19">
        <v>74.900000000000006</v>
      </c>
      <c r="G26" s="19">
        <v>75.3</v>
      </c>
      <c r="H26" s="19">
        <v>75.599999999999994</v>
      </c>
      <c r="I26" s="525"/>
      <c r="J26" s="727">
        <f>(H26/C26)^(1/6)-1</f>
        <v>4.2512584007996512E-3</v>
      </c>
      <c r="K26" s="728"/>
      <c r="L26" s="728"/>
      <c r="M26" s="729"/>
      <c r="O26" s="737"/>
      <c r="P26" s="737"/>
      <c r="Q26" s="302"/>
      <c r="R26" s="302"/>
      <c r="S26" s="302"/>
      <c r="T26" s="302"/>
      <c r="U26" s="302"/>
      <c r="V26" s="302"/>
      <c r="W26" s="302"/>
    </row>
    <row r="27" spans="2:24">
      <c r="O27" s="305"/>
      <c r="P27" s="305"/>
      <c r="Q27" s="305"/>
      <c r="R27" s="305"/>
      <c r="S27" s="305"/>
      <c r="T27" s="305"/>
      <c r="U27" s="305"/>
      <c r="V27" s="305"/>
      <c r="W27" s="305"/>
      <c r="X27" s="17"/>
    </row>
    <row r="28" spans="2:24">
      <c r="W28" s="17"/>
      <c r="X28" s="17"/>
    </row>
    <row r="29" spans="2:24" ht="15" thickBot="1">
      <c r="B29" s="722" t="s">
        <v>14</v>
      </c>
      <c r="C29" s="723"/>
      <c r="D29" s="723"/>
      <c r="E29" s="723"/>
      <c r="F29" s="723"/>
      <c r="G29" s="723"/>
      <c r="H29" s="723"/>
      <c r="I29" s="486"/>
      <c r="J29" s="3"/>
      <c r="K29" s="3"/>
      <c r="L29" s="3"/>
      <c r="M29" s="3"/>
      <c r="O29" s="720" t="s">
        <v>15</v>
      </c>
      <c r="P29" s="721"/>
      <c r="Q29" s="721"/>
      <c r="R29" s="721"/>
      <c r="S29" s="721"/>
      <c r="T29" s="721"/>
      <c r="U29" s="721"/>
      <c r="W29" s="17"/>
      <c r="X29" s="17"/>
    </row>
    <row r="30" spans="2:24">
      <c r="B30" s="6" t="s">
        <v>5</v>
      </c>
      <c r="C30" s="7">
        <v>2011</v>
      </c>
      <c r="D30" s="8">
        <v>2012</v>
      </c>
      <c r="E30" s="8">
        <v>2013</v>
      </c>
      <c r="F30" s="8">
        <v>2014</v>
      </c>
      <c r="G30" s="9">
        <v>2015</v>
      </c>
      <c r="H30" s="9">
        <v>2016</v>
      </c>
      <c r="I30" s="10">
        <v>2017</v>
      </c>
      <c r="J30" s="712" t="s">
        <v>6</v>
      </c>
      <c r="K30" s="713"/>
      <c r="L30" s="713"/>
      <c r="M30" s="714"/>
      <c r="O30" s="715" t="s">
        <v>5</v>
      </c>
      <c r="P30" s="716"/>
      <c r="Q30" s="289">
        <v>2018</v>
      </c>
      <c r="R30" s="289">
        <v>2019</v>
      </c>
      <c r="S30" s="289">
        <v>2020</v>
      </c>
      <c r="T30" s="289">
        <v>2021</v>
      </c>
      <c r="U30" s="287">
        <v>2022</v>
      </c>
      <c r="V30" s="300">
        <v>2023</v>
      </c>
      <c r="W30" s="524"/>
      <c r="X30" s="17"/>
    </row>
    <row r="31" spans="2:24" ht="15" thickBot="1">
      <c r="B31" s="12" t="s">
        <v>7</v>
      </c>
      <c r="C31" s="13">
        <f>[2]TABLICA!C4</f>
        <v>1212</v>
      </c>
      <c r="D31" s="14">
        <f>[2]TABLICA!D4</f>
        <v>1222</v>
      </c>
      <c r="E31" s="14">
        <f>[2]TABLICA!E4</f>
        <v>1250</v>
      </c>
      <c r="F31" s="14">
        <f>[2]TABLICA!F4</f>
        <v>1263</v>
      </c>
      <c r="G31" s="14">
        <f>[2]TABLICA!G4</f>
        <v>1257</v>
      </c>
      <c r="H31" s="510">
        <f>[2]TABLICA!H4</f>
        <v>1262</v>
      </c>
      <c r="I31" s="15">
        <f>[2]TABLICA!I4</f>
        <v>1252</v>
      </c>
      <c r="J31" s="727">
        <f>(I31/C31)^(1/7)-1</f>
        <v>4.6494015146454348E-3</v>
      </c>
      <c r="K31" s="728"/>
      <c r="L31" s="728"/>
      <c r="M31" s="729"/>
      <c r="O31" s="730" t="s">
        <v>7</v>
      </c>
      <c r="P31" s="732"/>
      <c r="Q31" s="16">
        <f>INT(I31*(1+J31))</f>
        <v>1257</v>
      </c>
      <c r="R31" s="16">
        <f>INT(Q31*(1+J31))</f>
        <v>1262</v>
      </c>
      <c r="S31" s="16">
        <f>INT(R31*(1+J31))</f>
        <v>1267</v>
      </c>
      <c r="T31" s="16">
        <f>INT(S31*(1+J31))</f>
        <v>1272</v>
      </c>
      <c r="U31" s="288">
        <f>INT(T31*(1+J31))</f>
        <v>1277</v>
      </c>
      <c r="V31" s="296">
        <f>INT(U31*(1+J31))</f>
        <v>1282</v>
      </c>
      <c r="W31" s="520"/>
      <c r="X31" s="17"/>
    </row>
    <row r="32" spans="2:24">
      <c r="W32" s="17"/>
      <c r="X32" s="17"/>
    </row>
    <row r="34" spans="2:13" ht="15" thickBot="1"/>
    <row r="35" spans="2:13" ht="15" thickBot="1">
      <c r="B35" s="743" t="s">
        <v>295</v>
      </c>
      <c r="C35" s="744"/>
      <c r="D35" s="744"/>
      <c r="E35" s="744"/>
      <c r="F35" s="744"/>
      <c r="G35" s="744"/>
      <c r="H35" s="744"/>
      <c r="I35" s="745"/>
      <c r="J35" s="20">
        <f>AVERAGE(J6,J12,J17,J26,J31)</f>
        <v>4.1443258690715187E-3</v>
      </c>
      <c r="K35" s="21"/>
      <c r="L35" s="21"/>
      <c r="M35" s="22"/>
    </row>
  </sheetData>
  <mergeCells count="39">
    <mergeCell ref="B19:I19"/>
    <mergeCell ref="B35:I35"/>
    <mergeCell ref="B10:I10"/>
    <mergeCell ref="J31:M31"/>
    <mergeCell ref="O31:P31"/>
    <mergeCell ref="J30:M30"/>
    <mergeCell ref="O30:P30"/>
    <mergeCell ref="B2:U2"/>
    <mergeCell ref="J25:M25"/>
    <mergeCell ref="O25:P25"/>
    <mergeCell ref="J26:M26"/>
    <mergeCell ref="O26:P26"/>
    <mergeCell ref="J20:M20"/>
    <mergeCell ref="O20:P20"/>
    <mergeCell ref="J21:M21"/>
    <mergeCell ref="O21:P21"/>
    <mergeCell ref="J12:M12"/>
    <mergeCell ref="J6:M6"/>
    <mergeCell ref="O6:P6"/>
    <mergeCell ref="J11:M11"/>
    <mergeCell ref="O11:P11"/>
    <mergeCell ref="O10:U10"/>
    <mergeCell ref="B3:D3"/>
    <mergeCell ref="J5:M5"/>
    <mergeCell ref="O5:P5"/>
    <mergeCell ref="O4:U4"/>
    <mergeCell ref="B4:I4"/>
    <mergeCell ref="O29:U29"/>
    <mergeCell ref="B15:H15"/>
    <mergeCell ref="B24:H24"/>
    <mergeCell ref="B29:H29"/>
    <mergeCell ref="O19:U19"/>
    <mergeCell ref="O24:U24"/>
    <mergeCell ref="J16:M16"/>
    <mergeCell ref="O16:P16"/>
    <mergeCell ref="J17:M17"/>
    <mergeCell ref="O17:P17"/>
    <mergeCell ref="O15:U15"/>
    <mergeCell ref="O12:P12"/>
  </mergeCells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08"/>
  <sheetViews>
    <sheetView view="pageBreakPreview" topLeftCell="A76" zoomScale="60" zoomScaleNormal="49" workbookViewId="0">
      <selection activeCell="N44" sqref="N44"/>
    </sheetView>
  </sheetViews>
  <sheetFormatPr defaultRowHeight="14.4"/>
  <cols>
    <col min="1" max="1" width="4.5546875" customWidth="1"/>
    <col min="3" max="3" width="14.88671875" customWidth="1"/>
    <col min="4" max="4" width="38.109375" customWidth="1"/>
    <col min="5" max="5" width="19.109375" customWidth="1"/>
    <col min="7" max="7" width="16.6640625" customWidth="1"/>
    <col min="8" max="8" width="15.109375" customWidth="1"/>
    <col min="9" max="9" width="14.6640625" customWidth="1"/>
    <col min="10" max="10" width="13.33203125" customWidth="1"/>
    <col min="11" max="11" width="15" customWidth="1"/>
    <col min="16" max="16" width="20.44140625" customWidth="1"/>
    <col min="17" max="17" width="11.5546875" customWidth="1"/>
    <col min="19" max="19" width="17.6640625" customWidth="1"/>
    <col min="21" max="21" width="13.33203125" customWidth="1"/>
    <col min="23" max="23" width="11" customWidth="1"/>
    <col min="24" max="24" width="11.77734375" customWidth="1"/>
    <col min="28" max="28" width="15.44140625" customWidth="1"/>
  </cols>
  <sheetData>
    <row r="2" spans="1:28">
      <c r="A2" s="746" t="s">
        <v>16</v>
      </c>
      <c r="B2" s="747" t="s">
        <v>296</v>
      </c>
      <c r="C2" s="747"/>
      <c r="D2" s="747" t="s">
        <v>297</v>
      </c>
      <c r="E2" s="747" t="s">
        <v>298</v>
      </c>
      <c r="F2" s="746" t="s">
        <v>299</v>
      </c>
      <c r="G2" s="746"/>
      <c r="H2" s="746"/>
      <c r="I2" s="746" t="s">
        <v>300</v>
      </c>
      <c r="J2" s="746"/>
      <c r="K2" s="752" t="s">
        <v>301</v>
      </c>
      <c r="L2" s="746" t="s">
        <v>302</v>
      </c>
      <c r="M2" s="746"/>
      <c r="N2" s="746"/>
      <c r="O2" s="746"/>
      <c r="P2" s="754" t="s">
        <v>303</v>
      </c>
      <c r="Q2" s="747" t="s">
        <v>304</v>
      </c>
      <c r="R2" s="746" t="s">
        <v>305</v>
      </c>
      <c r="S2" s="746"/>
      <c r="T2" s="746"/>
      <c r="U2" s="746" t="s">
        <v>306</v>
      </c>
      <c r="V2" s="746"/>
      <c r="W2" s="746"/>
      <c r="X2" s="746"/>
      <c r="Y2" s="746" t="s">
        <v>307</v>
      </c>
      <c r="Z2" s="746"/>
      <c r="AA2" s="746"/>
      <c r="AB2" s="746"/>
    </row>
    <row r="3" spans="1:28" ht="26.25" customHeight="1">
      <c r="A3" s="746"/>
      <c r="B3" s="747"/>
      <c r="C3" s="747"/>
      <c r="D3" s="747"/>
      <c r="E3" s="747"/>
      <c r="F3" s="526" t="s">
        <v>308</v>
      </c>
      <c r="G3" s="526" t="s">
        <v>309</v>
      </c>
      <c r="H3" s="526" t="s">
        <v>310</v>
      </c>
      <c r="I3" s="526" t="s">
        <v>311</v>
      </c>
      <c r="J3" s="526" t="s">
        <v>195</v>
      </c>
      <c r="K3" s="753"/>
      <c r="L3" s="526" t="s">
        <v>21</v>
      </c>
      <c r="M3" s="526" t="s">
        <v>312</v>
      </c>
      <c r="N3" s="526" t="s">
        <v>24</v>
      </c>
      <c r="O3" s="526" t="s">
        <v>313</v>
      </c>
      <c r="P3" s="754"/>
      <c r="Q3" s="747"/>
      <c r="R3" s="526" t="s">
        <v>314</v>
      </c>
      <c r="S3" s="526" t="s">
        <v>315</v>
      </c>
      <c r="T3" s="526" t="s">
        <v>313</v>
      </c>
      <c r="U3" s="526" t="s">
        <v>316</v>
      </c>
      <c r="V3" s="526" t="s">
        <v>317</v>
      </c>
      <c r="W3" s="526" t="s">
        <v>318</v>
      </c>
      <c r="X3" s="526" t="s">
        <v>313</v>
      </c>
      <c r="Y3" s="526">
        <v>2018</v>
      </c>
      <c r="Z3" s="526">
        <v>2019</v>
      </c>
      <c r="AA3" s="526">
        <v>2020</v>
      </c>
      <c r="AB3" s="526">
        <v>2021</v>
      </c>
    </row>
    <row r="4" spans="1:28">
      <c r="A4" s="526">
        <v>1</v>
      </c>
      <c r="B4" s="750" t="s">
        <v>319</v>
      </c>
      <c r="C4" s="751"/>
      <c r="D4" s="526" t="s">
        <v>320</v>
      </c>
      <c r="E4" s="526">
        <v>508085345</v>
      </c>
      <c r="F4" s="526"/>
      <c r="G4" s="527" t="s">
        <v>18</v>
      </c>
      <c r="H4" s="526"/>
      <c r="I4" s="527" t="s">
        <v>18</v>
      </c>
      <c r="J4" s="526"/>
      <c r="K4" s="527">
        <v>130</v>
      </c>
      <c r="L4" s="526"/>
      <c r="M4" s="527" t="s">
        <v>18</v>
      </c>
      <c r="N4" s="526"/>
      <c r="O4" s="526"/>
      <c r="P4" s="528">
        <v>12</v>
      </c>
      <c r="Q4" s="526">
        <v>1980</v>
      </c>
      <c r="R4" s="526" t="s">
        <v>18</v>
      </c>
      <c r="S4" s="526"/>
      <c r="T4" s="526"/>
      <c r="U4" s="526"/>
      <c r="V4" s="526" t="s">
        <v>18</v>
      </c>
      <c r="W4" s="526"/>
      <c r="X4" s="526"/>
      <c r="Y4" s="526" t="s">
        <v>18</v>
      </c>
      <c r="Z4" s="526"/>
      <c r="AA4" s="526"/>
      <c r="AB4" s="526"/>
    </row>
    <row r="5" spans="1:28">
      <c r="A5" s="526">
        <v>2</v>
      </c>
      <c r="B5" s="748" t="s">
        <v>321</v>
      </c>
      <c r="C5" s="749"/>
      <c r="D5" s="529" t="s">
        <v>322</v>
      </c>
      <c r="E5" s="529">
        <v>503177722</v>
      </c>
      <c r="F5" s="529" t="s">
        <v>18</v>
      </c>
      <c r="G5" s="529"/>
      <c r="H5" s="529"/>
      <c r="I5" s="529" t="s">
        <v>18</v>
      </c>
      <c r="J5" s="529"/>
      <c r="K5" s="529">
        <v>300</v>
      </c>
      <c r="L5" s="529" t="s">
        <v>18</v>
      </c>
      <c r="M5" s="529"/>
      <c r="N5" s="529"/>
      <c r="O5" s="529"/>
      <c r="P5" s="529">
        <v>39</v>
      </c>
      <c r="Q5" s="529">
        <v>2007</v>
      </c>
      <c r="R5" s="529"/>
      <c r="S5" s="529" t="s">
        <v>18</v>
      </c>
      <c r="T5" s="529"/>
      <c r="U5" s="529" t="s">
        <v>18</v>
      </c>
      <c r="V5" s="529"/>
      <c r="W5" s="529"/>
      <c r="X5" s="529"/>
      <c r="Y5" s="529" t="s">
        <v>18</v>
      </c>
      <c r="Z5" s="529"/>
      <c r="AA5" s="529"/>
      <c r="AB5" s="529"/>
    </row>
    <row r="6" spans="1:28">
      <c r="A6" s="526">
        <v>3</v>
      </c>
      <c r="B6" s="748" t="s">
        <v>323</v>
      </c>
      <c r="C6" s="749"/>
      <c r="D6" s="529" t="s">
        <v>324</v>
      </c>
      <c r="E6" s="529"/>
      <c r="F6" s="529" t="s">
        <v>18</v>
      </c>
      <c r="G6" s="529"/>
      <c r="H6" s="529"/>
      <c r="I6" s="529" t="s">
        <v>18</v>
      </c>
      <c r="J6" s="529"/>
      <c r="K6" s="529">
        <v>110</v>
      </c>
      <c r="L6" s="529"/>
      <c r="M6" s="529" t="s">
        <v>18</v>
      </c>
      <c r="N6" s="529"/>
      <c r="O6" s="529"/>
      <c r="P6" s="529">
        <v>10</v>
      </c>
      <c r="Q6" s="529">
        <v>2001</v>
      </c>
      <c r="R6" s="529" t="s">
        <v>18</v>
      </c>
      <c r="S6" s="529"/>
      <c r="T6" s="529"/>
      <c r="U6" s="529"/>
      <c r="V6" s="529" t="s">
        <v>18</v>
      </c>
      <c r="W6" s="529"/>
      <c r="X6" s="529" t="s">
        <v>18</v>
      </c>
      <c r="Y6" s="529" t="s">
        <v>18</v>
      </c>
      <c r="Z6" s="529"/>
      <c r="AA6" s="529"/>
      <c r="AB6" s="529"/>
    </row>
    <row r="7" spans="1:28">
      <c r="A7" s="526">
        <v>4</v>
      </c>
      <c r="B7" s="748" t="s">
        <v>325</v>
      </c>
      <c r="C7" s="749"/>
      <c r="D7" s="529" t="s">
        <v>326</v>
      </c>
      <c r="E7" s="529">
        <v>509679054</v>
      </c>
      <c r="F7" s="529" t="s">
        <v>18</v>
      </c>
      <c r="G7" s="529"/>
      <c r="H7" s="529"/>
      <c r="I7" s="529" t="s">
        <v>18</v>
      </c>
      <c r="J7" s="529"/>
      <c r="K7" s="529">
        <v>156</v>
      </c>
      <c r="L7" s="529" t="s">
        <v>18</v>
      </c>
      <c r="M7" s="529"/>
      <c r="N7" s="529"/>
      <c r="O7" s="529"/>
      <c r="P7" s="529">
        <v>15</v>
      </c>
      <c r="Q7" s="529">
        <v>2003</v>
      </c>
      <c r="R7" s="529" t="s">
        <v>18</v>
      </c>
      <c r="S7" s="529"/>
      <c r="T7" s="529" t="s">
        <v>327</v>
      </c>
      <c r="U7" s="529" t="s">
        <v>18</v>
      </c>
      <c r="V7" s="529"/>
      <c r="W7" s="529"/>
      <c r="X7" s="529"/>
      <c r="Y7" s="529" t="s">
        <v>18</v>
      </c>
      <c r="Z7" s="529"/>
      <c r="AA7" s="529"/>
      <c r="AB7" s="529"/>
    </row>
    <row r="8" spans="1:28">
      <c r="A8" s="526">
        <v>5</v>
      </c>
      <c r="B8" s="748" t="s">
        <v>328</v>
      </c>
      <c r="C8" s="749"/>
      <c r="D8" s="529" t="s">
        <v>329</v>
      </c>
      <c r="E8" s="529">
        <v>603351888</v>
      </c>
      <c r="F8" s="529" t="s">
        <v>18</v>
      </c>
      <c r="G8" s="529"/>
      <c r="H8" s="529"/>
      <c r="I8" s="529" t="s">
        <v>18</v>
      </c>
      <c r="J8" s="529"/>
      <c r="K8" s="529">
        <v>128</v>
      </c>
      <c r="L8" s="529" t="s">
        <v>18</v>
      </c>
      <c r="M8" s="529" t="s">
        <v>18</v>
      </c>
      <c r="N8" s="529"/>
      <c r="O8" s="529"/>
      <c r="P8" s="529">
        <v>22</v>
      </c>
      <c r="Q8" s="529">
        <v>2006</v>
      </c>
      <c r="R8" s="529"/>
      <c r="S8" s="529"/>
      <c r="T8" s="529" t="s">
        <v>330</v>
      </c>
      <c r="U8" s="529" t="s">
        <v>18</v>
      </c>
      <c r="V8" s="529"/>
      <c r="W8" s="529"/>
      <c r="X8" s="529"/>
      <c r="Y8" s="529" t="s">
        <v>18</v>
      </c>
      <c r="Z8" s="529"/>
      <c r="AA8" s="529"/>
      <c r="AB8" s="529"/>
    </row>
    <row r="9" spans="1:28">
      <c r="A9" s="526">
        <v>6</v>
      </c>
      <c r="B9" s="748" t="s">
        <v>331</v>
      </c>
      <c r="C9" s="749"/>
      <c r="D9" s="529" t="s">
        <v>332</v>
      </c>
      <c r="E9" s="529">
        <v>882036196</v>
      </c>
      <c r="F9" s="529" t="s">
        <v>18</v>
      </c>
      <c r="G9" s="529"/>
      <c r="H9" s="529"/>
      <c r="I9" s="529" t="s">
        <v>18</v>
      </c>
      <c r="J9" s="529"/>
      <c r="K9" s="529">
        <v>200</v>
      </c>
      <c r="L9" s="529" t="s">
        <v>18</v>
      </c>
      <c r="M9" s="529"/>
      <c r="N9" s="529"/>
      <c r="O9" s="529"/>
      <c r="P9" s="529">
        <v>24</v>
      </c>
      <c r="Q9" s="529">
        <v>2008</v>
      </c>
      <c r="R9" s="529" t="s">
        <v>18</v>
      </c>
      <c r="S9" s="529"/>
      <c r="T9" s="529"/>
      <c r="U9" s="529" t="s">
        <v>18</v>
      </c>
      <c r="V9" s="529"/>
      <c r="W9" s="529"/>
      <c r="X9" s="529"/>
      <c r="Y9" s="529" t="s">
        <v>18</v>
      </c>
      <c r="Z9" s="529"/>
      <c r="AA9" s="529"/>
      <c r="AB9" s="529"/>
    </row>
    <row r="10" spans="1:28">
      <c r="A10" s="526">
        <v>7</v>
      </c>
      <c r="B10" s="748" t="s">
        <v>333</v>
      </c>
      <c r="C10" s="749"/>
      <c r="D10" s="529" t="s">
        <v>334</v>
      </c>
      <c r="E10" s="529">
        <v>503023303</v>
      </c>
      <c r="F10" s="529"/>
      <c r="G10" s="529"/>
      <c r="H10" s="529"/>
      <c r="I10" s="529"/>
      <c r="J10" s="529"/>
      <c r="K10" s="529">
        <v>150</v>
      </c>
      <c r="L10" s="529" t="s">
        <v>18</v>
      </c>
      <c r="M10" s="529"/>
      <c r="N10" s="529"/>
      <c r="O10" s="529"/>
      <c r="P10" s="529">
        <v>24</v>
      </c>
      <c r="Q10" s="529">
        <v>2008</v>
      </c>
      <c r="R10" s="529" t="s">
        <v>18</v>
      </c>
      <c r="S10" s="529"/>
      <c r="T10" s="529"/>
      <c r="U10" s="529" t="s">
        <v>18</v>
      </c>
      <c r="V10" s="529"/>
      <c r="W10" s="529"/>
      <c r="X10" s="529"/>
      <c r="Y10" s="529" t="s">
        <v>18</v>
      </c>
      <c r="Z10" s="529"/>
      <c r="AA10" s="529"/>
      <c r="AB10" s="529"/>
    </row>
    <row r="11" spans="1:28">
      <c r="A11" s="526">
        <v>8</v>
      </c>
      <c r="B11" s="748" t="s">
        <v>335</v>
      </c>
      <c r="C11" s="749"/>
      <c r="D11" s="529" t="s">
        <v>336</v>
      </c>
      <c r="E11" s="529">
        <v>603391388</v>
      </c>
      <c r="F11" s="529" t="s">
        <v>18</v>
      </c>
      <c r="G11" s="529"/>
      <c r="H11" s="529"/>
      <c r="I11" s="529" t="s">
        <v>18</v>
      </c>
      <c r="J11" s="529"/>
      <c r="K11" s="529">
        <v>150</v>
      </c>
      <c r="L11" s="529" t="s">
        <v>18</v>
      </c>
      <c r="M11" s="529"/>
      <c r="N11" s="529"/>
      <c r="O11" s="529"/>
      <c r="P11" s="529">
        <v>24</v>
      </c>
      <c r="Q11" s="529">
        <v>1986</v>
      </c>
      <c r="R11" s="529" t="s">
        <v>18</v>
      </c>
      <c r="S11" s="529" t="s">
        <v>18</v>
      </c>
      <c r="T11" s="529"/>
      <c r="U11" s="529" t="s">
        <v>18</v>
      </c>
      <c r="V11" s="529"/>
      <c r="W11" s="529"/>
      <c r="X11" s="529"/>
      <c r="Y11" s="529"/>
      <c r="Z11" s="529" t="s">
        <v>18</v>
      </c>
      <c r="AA11" s="529"/>
      <c r="AB11" s="529"/>
    </row>
    <row r="12" spans="1:28">
      <c r="A12" s="526">
        <v>9</v>
      </c>
      <c r="B12" s="748" t="s">
        <v>337</v>
      </c>
      <c r="C12" s="749"/>
      <c r="D12" s="529" t="s">
        <v>338</v>
      </c>
      <c r="E12" s="529">
        <v>504116694</v>
      </c>
      <c r="F12" s="529" t="s">
        <v>18</v>
      </c>
      <c r="G12" s="529"/>
      <c r="H12" s="529"/>
      <c r="I12" s="529" t="s">
        <v>18</v>
      </c>
      <c r="J12" s="529"/>
      <c r="K12" s="529">
        <v>110</v>
      </c>
      <c r="L12" s="529" t="s">
        <v>18</v>
      </c>
      <c r="M12" s="529"/>
      <c r="N12" s="529"/>
      <c r="O12" s="529"/>
      <c r="P12" s="529">
        <v>14</v>
      </c>
      <c r="Q12" s="529">
        <v>2003</v>
      </c>
      <c r="R12" s="529" t="s">
        <v>18</v>
      </c>
      <c r="S12" s="529"/>
      <c r="T12" s="529" t="s">
        <v>327</v>
      </c>
      <c r="U12" s="529"/>
      <c r="V12" s="529" t="s">
        <v>339</v>
      </c>
      <c r="W12" s="529"/>
      <c r="X12" s="529" t="s">
        <v>340</v>
      </c>
      <c r="Y12" s="529"/>
      <c r="Z12" s="529" t="s">
        <v>18</v>
      </c>
      <c r="AA12" s="529"/>
      <c r="AB12" s="529"/>
    </row>
    <row r="13" spans="1:28">
      <c r="A13" s="526">
        <v>10</v>
      </c>
      <c r="B13" s="750" t="s">
        <v>341</v>
      </c>
      <c r="C13" s="751"/>
      <c r="D13" s="526" t="s">
        <v>342</v>
      </c>
      <c r="E13" s="526">
        <v>781508732</v>
      </c>
      <c r="F13" s="526" t="s">
        <v>18</v>
      </c>
      <c r="G13" s="526"/>
      <c r="H13" s="526"/>
      <c r="I13" s="526" t="s">
        <v>18</v>
      </c>
      <c r="J13" s="526"/>
      <c r="K13" s="526">
        <v>160</v>
      </c>
      <c r="L13" s="526" t="s">
        <v>18</v>
      </c>
      <c r="M13" s="526"/>
      <c r="N13" s="526"/>
      <c r="O13" s="526"/>
      <c r="P13" s="526">
        <v>1.8</v>
      </c>
      <c r="Q13" s="526">
        <v>2007</v>
      </c>
      <c r="R13" s="526" t="s">
        <v>18</v>
      </c>
      <c r="S13" s="526"/>
      <c r="T13" s="526"/>
      <c r="U13" s="526" t="s">
        <v>18</v>
      </c>
      <c r="V13" s="526"/>
      <c r="W13" s="526"/>
      <c r="X13" s="526"/>
      <c r="Y13" s="526" t="s">
        <v>18</v>
      </c>
      <c r="Z13" s="526"/>
      <c r="AA13" s="526"/>
      <c r="AB13" s="526"/>
    </row>
    <row r="14" spans="1:28">
      <c r="A14" s="526">
        <v>11</v>
      </c>
      <c r="B14" s="750" t="s">
        <v>343</v>
      </c>
      <c r="C14" s="751"/>
      <c r="D14" s="526" t="s">
        <v>344</v>
      </c>
      <c r="E14" s="526">
        <v>601911343</v>
      </c>
      <c r="F14" s="526" t="s">
        <v>18</v>
      </c>
      <c r="G14" s="526"/>
      <c r="H14" s="526"/>
      <c r="I14" s="526" t="s">
        <v>18</v>
      </c>
      <c r="J14" s="526"/>
      <c r="K14" s="526">
        <v>77</v>
      </c>
      <c r="L14" s="526" t="s">
        <v>18</v>
      </c>
      <c r="M14" s="526"/>
      <c r="N14" s="526"/>
      <c r="O14" s="526"/>
      <c r="P14" s="526">
        <v>11</v>
      </c>
      <c r="Q14" s="526">
        <v>2013</v>
      </c>
      <c r="R14" s="526" t="s">
        <v>18</v>
      </c>
      <c r="S14" s="526"/>
      <c r="T14" s="526"/>
      <c r="U14" s="526" t="s">
        <v>18</v>
      </c>
      <c r="V14" s="526" t="s">
        <v>18</v>
      </c>
      <c r="W14" s="526"/>
      <c r="X14" s="526"/>
      <c r="Y14" s="526" t="s">
        <v>18</v>
      </c>
      <c r="Z14" s="526"/>
      <c r="AA14" s="526"/>
      <c r="AB14" s="526"/>
    </row>
    <row r="15" spans="1:28">
      <c r="A15" s="526">
        <v>12</v>
      </c>
      <c r="B15" s="750" t="s">
        <v>345</v>
      </c>
      <c r="C15" s="751"/>
      <c r="D15" s="526" t="s">
        <v>346</v>
      </c>
      <c r="E15" s="526">
        <v>502039274</v>
      </c>
      <c r="F15" s="526" t="s">
        <v>18</v>
      </c>
      <c r="G15" s="526"/>
      <c r="H15" s="526"/>
      <c r="I15" s="526" t="s">
        <v>18</v>
      </c>
      <c r="J15" s="526"/>
      <c r="K15" s="526">
        <v>123</v>
      </c>
      <c r="L15" s="526" t="s">
        <v>18</v>
      </c>
      <c r="M15" s="526" t="s">
        <v>18</v>
      </c>
      <c r="N15" s="526"/>
      <c r="O15" s="526"/>
      <c r="P15" s="526">
        <v>18</v>
      </c>
      <c r="Q15" s="526">
        <v>2012</v>
      </c>
      <c r="R15" s="526"/>
      <c r="S15" s="526"/>
      <c r="T15" s="526" t="s">
        <v>330</v>
      </c>
      <c r="U15" s="526" t="s">
        <v>18</v>
      </c>
      <c r="V15" s="526"/>
      <c r="W15" s="526"/>
      <c r="X15" s="526"/>
      <c r="Y15" s="526"/>
      <c r="Z15" s="526"/>
      <c r="AA15" s="526" t="s">
        <v>18</v>
      </c>
      <c r="AB15" s="526"/>
    </row>
    <row r="16" spans="1:28">
      <c r="A16" s="526">
        <v>13</v>
      </c>
      <c r="B16" s="750" t="s">
        <v>347</v>
      </c>
      <c r="C16" s="751"/>
      <c r="D16" s="526" t="s">
        <v>348</v>
      </c>
      <c r="E16" s="526">
        <v>535230734</v>
      </c>
      <c r="F16" s="526" t="s">
        <v>18</v>
      </c>
      <c r="G16" s="526"/>
      <c r="H16" s="526"/>
      <c r="I16" s="526" t="s">
        <v>18</v>
      </c>
      <c r="J16" s="526"/>
      <c r="K16" s="526">
        <v>200</v>
      </c>
      <c r="L16" s="526" t="s">
        <v>18</v>
      </c>
      <c r="M16" s="526"/>
      <c r="N16" s="526"/>
      <c r="O16" s="526"/>
      <c r="P16" s="526">
        <v>24</v>
      </c>
      <c r="Q16" s="526">
        <v>2010</v>
      </c>
      <c r="R16" s="526" t="s">
        <v>18</v>
      </c>
      <c r="S16" s="526"/>
      <c r="T16" s="526"/>
      <c r="U16" s="526" t="s">
        <v>18</v>
      </c>
      <c r="V16" s="526"/>
      <c r="W16" s="526"/>
      <c r="X16" s="526"/>
      <c r="Y16" s="526" t="s">
        <v>18</v>
      </c>
      <c r="Z16" s="526"/>
      <c r="AA16" s="526"/>
      <c r="AB16" s="526"/>
    </row>
    <row r="17" spans="1:28">
      <c r="A17" s="526">
        <v>14</v>
      </c>
      <c r="B17" s="750" t="s">
        <v>349</v>
      </c>
      <c r="C17" s="751"/>
      <c r="D17" s="526" t="s">
        <v>350</v>
      </c>
      <c r="E17" s="526">
        <v>782540670</v>
      </c>
      <c r="F17" s="526" t="s">
        <v>18</v>
      </c>
      <c r="G17" s="526"/>
      <c r="H17" s="526"/>
      <c r="I17" s="526" t="s">
        <v>18</v>
      </c>
      <c r="J17" s="526"/>
      <c r="K17" s="526">
        <v>200</v>
      </c>
      <c r="L17" s="526" t="s">
        <v>18</v>
      </c>
      <c r="M17" s="526"/>
      <c r="N17" s="526"/>
      <c r="O17" s="526"/>
      <c r="P17" s="526">
        <v>24</v>
      </c>
      <c r="Q17" s="526">
        <v>2012</v>
      </c>
      <c r="R17" s="526"/>
      <c r="S17" s="526"/>
      <c r="T17" s="526" t="s">
        <v>330</v>
      </c>
      <c r="U17" s="526" t="s">
        <v>18</v>
      </c>
      <c r="V17" s="526"/>
      <c r="W17" s="526"/>
      <c r="X17" s="526"/>
      <c r="Y17" s="526" t="s">
        <v>18</v>
      </c>
      <c r="Z17" s="526"/>
      <c r="AA17" s="526"/>
      <c r="AB17" s="526"/>
    </row>
    <row r="18" spans="1:28">
      <c r="A18" s="526">
        <v>15</v>
      </c>
      <c r="B18" s="750" t="s">
        <v>351</v>
      </c>
      <c r="C18" s="751"/>
      <c r="D18" s="526" t="s">
        <v>352</v>
      </c>
      <c r="E18" s="526" t="s">
        <v>353</v>
      </c>
      <c r="F18" s="526"/>
      <c r="G18" s="526" t="s">
        <v>18</v>
      </c>
      <c r="H18" s="526"/>
      <c r="I18" s="526" t="s">
        <v>18</v>
      </c>
      <c r="J18" s="526"/>
      <c r="K18" s="526">
        <v>120</v>
      </c>
      <c r="L18" s="526" t="s">
        <v>18</v>
      </c>
      <c r="M18" s="526" t="s">
        <v>18</v>
      </c>
      <c r="N18" s="526"/>
      <c r="O18" s="526"/>
      <c r="P18" s="526"/>
      <c r="Q18" s="526"/>
      <c r="R18" s="526"/>
      <c r="S18" s="526"/>
      <c r="T18" s="526" t="s">
        <v>330</v>
      </c>
      <c r="U18" s="526"/>
      <c r="V18" s="526"/>
      <c r="W18" s="526"/>
      <c r="X18" s="526" t="s">
        <v>340</v>
      </c>
      <c r="Y18" s="526" t="s">
        <v>18</v>
      </c>
      <c r="Z18" s="526"/>
      <c r="AA18" s="526"/>
      <c r="AB18" s="526"/>
    </row>
    <row r="19" spans="1:28">
      <c r="A19" s="530">
        <v>16</v>
      </c>
      <c r="B19" s="750" t="s">
        <v>354</v>
      </c>
      <c r="C19" s="751"/>
      <c r="D19" s="526" t="s">
        <v>355</v>
      </c>
      <c r="E19" s="526">
        <v>609207468</v>
      </c>
      <c r="F19" s="526" t="s">
        <v>18</v>
      </c>
      <c r="G19" s="526"/>
      <c r="H19" s="526"/>
      <c r="I19" s="526" t="s">
        <v>18</v>
      </c>
      <c r="J19" s="526"/>
      <c r="K19" s="526">
        <v>110</v>
      </c>
      <c r="L19" s="526" t="s">
        <v>18</v>
      </c>
      <c r="M19" s="526"/>
      <c r="N19" s="526"/>
      <c r="O19" s="526"/>
      <c r="P19" s="526">
        <v>2.4</v>
      </c>
      <c r="Q19" s="526">
        <v>2005</v>
      </c>
      <c r="R19" s="526"/>
      <c r="S19" s="526" t="s">
        <v>18</v>
      </c>
      <c r="T19" s="526" t="s">
        <v>327</v>
      </c>
      <c r="U19" s="526"/>
      <c r="V19" s="526"/>
      <c r="W19" s="526" t="s">
        <v>18</v>
      </c>
      <c r="X19" s="526"/>
      <c r="Y19" s="526" t="s">
        <v>18</v>
      </c>
      <c r="Z19" s="526"/>
      <c r="AA19" s="526"/>
      <c r="AB19" s="526"/>
    </row>
    <row r="20" spans="1:28">
      <c r="A20" s="530">
        <v>17</v>
      </c>
      <c r="B20" s="750" t="s">
        <v>357</v>
      </c>
      <c r="C20" s="751"/>
      <c r="D20" s="526" t="s">
        <v>358</v>
      </c>
      <c r="E20" s="526">
        <v>604901243</v>
      </c>
      <c r="F20" s="526" t="s">
        <v>18</v>
      </c>
      <c r="G20" s="526"/>
      <c r="H20" s="526"/>
      <c r="I20" s="526" t="s">
        <v>18</v>
      </c>
      <c r="J20" s="526"/>
      <c r="K20" s="526">
        <v>140</v>
      </c>
      <c r="L20" s="526" t="s">
        <v>18</v>
      </c>
      <c r="M20" s="526"/>
      <c r="N20" s="526"/>
      <c r="O20" s="526"/>
      <c r="P20" s="526">
        <v>15</v>
      </c>
      <c r="Q20" s="526">
        <v>2012</v>
      </c>
      <c r="R20" s="526" t="s">
        <v>18</v>
      </c>
      <c r="S20" s="526"/>
      <c r="T20" s="526"/>
      <c r="U20" s="526" t="s">
        <v>18</v>
      </c>
      <c r="V20" s="526"/>
      <c r="W20" s="526"/>
      <c r="X20" s="526"/>
      <c r="Y20" s="526"/>
      <c r="Z20" s="526" t="s">
        <v>18</v>
      </c>
      <c r="AA20" s="526"/>
      <c r="AB20" s="526"/>
    </row>
    <row r="21" spans="1:28">
      <c r="A21" s="530">
        <v>18</v>
      </c>
      <c r="B21" s="750" t="s">
        <v>359</v>
      </c>
      <c r="C21" s="751"/>
      <c r="D21" s="526" t="s">
        <v>360</v>
      </c>
      <c r="E21" s="526">
        <v>506228520</v>
      </c>
      <c r="F21" s="526" t="s">
        <v>18</v>
      </c>
      <c r="G21" s="526"/>
      <c r="H21" s="526"/>
      <c r="I21" s="526" t="s">
        <v>18</v>
      </c>
      <c r="J21" s="526"/>
      <c r="K21" s="526">
        <v>140</v>
      </c>
      <c r="L21" s="526" t="s">
        <v>18</v>
      </c>
      <c r="M21" s="526" t="s">
        <v>18</v>
      </c>
      <c r="N21" s="526"/>
      <c r="O21" s="526"/>
      <c r="P21" s="526">
        <v>21</v>
      </c>
      <c r="Q21" s="526">
        <v>2008</v>
      </c>
      <c r="R21" s="526"/>
      <c r="S21" s="526"/>
      <c r="T21" s="526" t="s">
        <v>330</v>
      </c>
      <c r="U21" s="526" t="s">
        <v>18</v>
      </c>
      <c r="V21" s="526"/>
      <c r="W21" s="526"/>
      <c r="X21" s="526"/>
      <c r="Y21" s="526" t="s">
        <v>18</v>
      </c>
      <c r="Z21" s="526"/>
      <c r="AA21" s="526"/>
      <c r="AB21" s="526"/>
    </row>
    <row r="22" spans="1:28">
      <c r="A22" s="530">
        <v>19</v>
      </c>
      <c r="B22" s="750" t="s">
        <v>361</v>
      </c>
      <c r="C22" s="751"/>
      <c r="D22" s="526" t="s">
        <v>362</v>
      </c>
      <c r="E22" s="526">
        <v>507749638</v>
      </c>
      <c r="F22" s="526" t="s">
        <v>18</v>
      </c>
      <c r="G22" s="526"/>
      <c r="H22" s="526"/>
      <c r="I22" s="526" t="s">
        <v>18</v>
      </c>
      <c r="J22" s="526"/>
      <c r="K22" s="526">
        <v>146</v>
      </c>
      <c r="L22" s="526" t="s">
        <v>18</v>
      </c>
      <c r="M22" s="526" t="s">
        <v>18</v>
      </c>
      <c r="N22" s="526"/>
      <c r="O22" s="526"/>
      <c r="P22" s="526">
        <v>14</v>
      </c>
      <c r="Q22" s="526">
        <v>2006</v>
      </c>
      <c r="R22" s="526" t="s">
        <v>18</v>
      </c>
      <c r="S22" s="526"/>
      <c r="T22" s="526"/>
      <c r="U22" s="526" t="s">
        <v>18</v>
      </c>
      <c r="V22" s="526"/>
      <c r="W22" s="526"/>
      <c r="X22" s="526"/>
      <c r="Y22" s="526"/>
      <c r="Z22" s="526" t="s">
        <v>18</v>
      </c>
      <c r="AA22" s="526"/>
      <c r="AB22" s="526"/>
    </row>
    <row r="23" spans="1:28">
      <c r="A23" s="530">
        <v>20</v>
      </c>
      <c r="B23" s="750" t="s">
        <v>363</v>
      </c>
      <c r="C23" s="751"/>
      <c r="D23" s="526" t="s">
        <v>364</v>
      </c>
      <c r="E23" s="526">
        <v>665127306</v>
      </c>
      <c r="F23" s="526" t="s">
        <v>18</v>
      </c>
      <c r="G23" s="526"/>
      <c r="H23" s="526"/>
      <c r="I23" s="526" t="s">
        <v>18</v>
      </c>
      <c r="J23" s="526"/>
      <c r="K23" s="526">
        <v>100</v>
      </c>
      <c r="L23" s="526" t="s">
        <v>18</v>
      </c>
      <c r="M23" s="526"/>
      <c r="N23" s="526"/>
      <c r="O23" s="526"/>
      <c r="P23" s="526">
        <v>14</v>
      </c>
      <c r="Q23" s="526">
        <v>1991</v>
      </c>
      <c r="R23" s="526" t="s">
        <v>18</v>
      </c>
      <c r="S23" s="526"/>
      <c r="T23" s="526"/>
      <c r="U23" s="526"/>
      <c r="V23" s="526"/>
      <c r="W23" s="526"/>
      <c r="X23" s="526" t="s">
        <v>340</v>
      </c>
      <c r="Y23" s="526" t="s">
        <v>18</v>
      </c>
      <c r="Z23" s="526"/>
      <c r="AA23" s="526"/>
      <c r="AB23" s="526"/>
    </row>
    <row r="24" spans="1:28">
      <c r="A24" s="531">
        <v>21</v>
      </c>
      <c r="B24" s="750" t="s">
        <v>365</v>
      </c>
      <c r="C24" s="751"/>
      <c r="D24" s="526" t="s">
        <v>366</v>
      </c>
      <c r="E24" s="526"/>
      <c r="F24" s="526" t="s">
        <v>18</v>
      </c>
      <c r="G24" s="526"/>
      <c r="H24" s="526"/>
      <c r="I24" s="526" t="s">
        <v>18</v>
      </c>
      <c r="J24" s="526"/>
      <c r="K24" s="526">
        <v>140</v>
      </c>
      <c r="L24" s="526" t="s">
        <v>18</v>
      </c>
      <c r="M24" s="526"/>
      <c r="N24" s="526"/>
      <c r="O24" s="526"/>
      <c r="P24" s="526">
        <v>24</v>
      </c>
      <c r="Q24" s="526">
        <v>2010</v>
      </c>
      <c r="R24" s="526" t="s">
        <v>18</v>
      </c>
      <c r="S24" s="526"/>
      <c r="T24" s="526"/>
      <c r="U24" s="526" t="s">
        <v>18</v>
      </c>
      <c r="V24" s="526"/>
      <c r="W24" s="526"/>
      <c r="X24" s="526"/>
      <c r="Y24" s="526" t="s">
        <v>18</v>
      </c>
      <c r="Z24" s="526"/>
      <c r="AA24" s="526"/>
      <c r="AB24" s="526"/>
    </row>
    <row r="25" spans="1:28">
      <c r="A25" s="530">
        <v>22</v>
      </c>
      <c r="B25" s="750" t="s">
        <v>367</v>
      </c>
      <c r="C25" s="751"/>
      <c r="D25" s="526" t="s">
        <v>368</v>
      </c>
      <c r="E25" s="526"/>
      <c r="F25" s="526" t="s">
        <v>18</v>
      </c>
      <c r="G25" s="526"/>
      <c r="H25" s="526"/>
      <c r="I25" s="526" t="s">
        <v>18</v>
      </c>
      <c r="J25" s="526"/>
      <c r="K25" s="526">
        <v>120</v>
      </c>
      <c r="L25" s="526" t="s">
        <v>18</v>
      </c>
      <c r="M25" s="526" t="s">
        <v>18</v>
      </c>
      <c r="N25" s="526"/>
      <c r="O25" s="526"/>
      <c r="P25" s="526">
        <v>19</v>
      </c>
      <c r="Q25" s="526">
        <v>1988</v>
      </c>
      <c r="R25" s="526" t="s">
        <v>18</v>
      </c>
      <c r="S25" s="526"/>
      <c r="T25" s="526"/>
      <c r="U25" s="526" t="s">
        <v>18</v>
      </c>
      <c r="V25" s="526"/>
      <c r="W25" s="526"/>
      <c r="X25" s="526"/>
      <c r="Y25" s="526"/>
      <c r="Z25" s="526" t="s">
        <v>18</v>
      </c>
      <c r="AA25" s="526"/>
      <c r="AB25" s="526"/>
    </row>
    <row r="26" spans="1:28">
      <c r="A26" s="530">
        <v>23</v>
      </c>
      <c r="B26" s="750" t="s">
        <v>369</v>
      </c>
      <c r="C26" s="751"/>
      <c r="D26" s="526" t="s">
        <v>370</v>
      </c>
      <c r="E26" s="526">
        <v>516153813</v>
      </c>
      <c r="F26" s="526" t="s">
        <v>18</v>
      </c>
      <c r="G26" s="526"/>
      <c r="H26" s="526"/>
      <c r="I26" s="526" t="s">
        <v>18</v>
      </c>
      <c r="J26" s="526"/>
      <c r="K26" s="526">
        <v>200</v>
      </c>
      <c r="L26" s="526" t="s">
        <v>18</v>
      </c>
      <c r="M26" s="526" t="s">
        <v>18</v>
      </c>
      <c r="N26" s="526"/>
      <c r="O26" s="526"/>
      <c r="P26" s="526">
        <v>24</v>
      </c>
      <c r="Q26" s="526">
        <v>2013</v>
      </c>
      <c r="R26" s="526"/>
      <c r="S26" s="526"/>
      <c r="T26" s="526" t="s">
        <v>327</v>
      </c>
      <c r="U26" s="526" t="s">
        <v>18</v>
      </c>
      <c r="V26" s="526"/>
      <c r="W26" s="526"/>
      <c r="X26" s="526"/>
      <c r="Y26" s="526"/>
      <c r="Z26" s="526"/>
      <c r="AA26" s="526"/>
      <c r="AB26" s="526" t="s">
        <v>18</v>
      </c>
    </row>
    <row r="27" spans="1:28">
      <c r="A27" s="530">
        <v>24</v>
      </c>
      <c r="B27" s="750" t="s">
        <v>371</v>
      </c>
      <c r="C27" s="751"/>
      <c r="D27" s="526" t="s">
        <v>372</v>
      </c>
      <c r="E27" s="526">
        <v>486133845</v>
      </c>
      <c r="F27" s="526"/>
      <c r="G27" s="526" t="s">
        <v>18</v>
      </c>
      <c r="H27" s="526"/>
      <c r="I27" s="526" t="s">
        <v>18</v>
      </c>
      <c r="J27" s="526"/>
      <c r="K27" s="526">
        <v>74</v>
      </c>
      <c r="L27" s="526" t="s">
        <v>18</v>
      </c>
      <c r="M27" s="526" t="s">
        <v>18</v>
      </c>
      <c r="N27" s="526"/>
      <c r="O27" s="526"/>
      <c r="P27" s="526">
        <v>10</v>
      </c>
      <c r="Q27" s="526">
        <v>2001</v>
      </c>
      <c r="R27" s="526"/>
      <c r="S27" s="526"/>
      <c r="T27" s="526" t="s">
        <v>330</v>
      </c>
      <c r="U27" s="526" t="s">
        <v>18</v>
      </c>
      <c r="V27" s="526"/>
      <c r="W27" s="526"/>
      <c r="X27" s="526"/>
      <c r="Y27" s="526"/>
      <c r="Z27" s="526"/>
      <c r="AA27" s="526" t="s">
        <v>18</v>
      </c>
      <c r="AB27" s="526"/>
    </row>
    <row r="28" spans="1:28">
      <c r="A28" s="530">
        <v>25</v>
      </c>
      <c r="B28" s="750" t="s">
        <v>373</v>
      </c>
      <c r="C28" s="751"/>
      <c r="D28" s="526" t="s">
        <v>374</v>
      </c>
      <c r="E28" s="526">
        <v>501802073</v>
      </c>
      <c r="F28" s="526" t="s">
        <v>18</v>
      </c>
      <c r="G28" s="526"/>
      <c r="H28" s="526"/>
      <c r="I28" s="526" t="s">
        <v>18</v>
      </c>
      <c r="J28" s="526"/>
      <c r="K28" s="526">
        <v>140</v>
      </c>
      <c r="L28" s="526" t="s">
        <v>18</v>
      </c>
      <c r="M28" s="526" t="s">
        <v>18</v>
      </c>
      <c r="N28" s="526"/>
      <c r="O28" s="526"/>
      <c r="P28" s="526">
        <v>10</v>
      </c>
      <c r="Q28" s="526">
        <v>1998</v>
      </c>
      <c r="R28" s="526" t="s">
        <v>18</v>
      </c>
      <c r="S28" s="526"/>
      <c r="T28" s="526"/>
      <c r="U28" s="526"/>
      <c r="V28" s="526" t="s">
        <v>18</v>
      </c>
      <c r="W28" s="526"/>
      <c r="X28" s="526"/>
      <c r="Y28" s="526" t="s">
        <v>18</v>
      </c>
      <c r="Z28" s="526" t="s">
        <v>18</v>
      </c>
      <c r="AA28" s="526"/>
      <c r="AB28" s="526"/>
    </row>
    <row r="29" spans="1:28">
      <c r="A29" s="530">
        <v>26</v>
      </c>
      <c r="B29" s="750" t="s">
        <v>375</v>
      </c>
      <c r="C29" s="751"/>
      <c r="D29" s="526" t="s">
        <v>376</v>
      </c>
      <c r="E29" s="526">
        <v>691119825</v>
      </c>
      <c r="F29" s="526"/>
      <c r="G29" s="526" t="s">
        <v>18</v>
      </c>
      <c r="H29" s="526"/>
      <c r="I29" s="526" t="s">
        <v>18</v>
      </c>
      <c r="J29" s="526"/>
      <c r="K29" s="526">
        <v>150</v>
      </c>
      <c r="L29" s="526" t="s">
        <v>18</v>
      </c>
      <c r="M29" s="526" t="s">
        <v>18</v>
      </c>
      <c r="N29" s="526"/>
      <c r="O29" s="526"/>
      <c r="P29" s="526">
        <v>15</v>
      </c>
      <c r="Q29" s="526">
        <v>2006</v>
      </c>
      <c r="R29" s="526" t="s">
        <v>18</v>
      </c>
      <c r="S29" s="526" t="s">
        <v>18</v>
      </c>
      <c r="T29" s="526"/>
      <c r="U29" s="526"/>
      <c r="V29" s="526"/>
      <c r="W29" s="526"/>
      <c r="X29" s="526" t="s">
        <v>340</v>
      </c>
      <c r="Y29" s="526"/>
      <c r="Z29" s="526"/>
      <c r="AA29" s="526"/>
      <c r="AB29" s="526"/>
    </row>
    <row r="30" spans="1:28">
      <c r="A30" s="530">
        <v>27</v>
      </c>
      <c r="B30" s="750" t="s">
        <v>377</v>
      </c>
      <c r="C30" s="751"/>
      <c r="D30" s="526" t="s">
        <v>378</v>
      </c>
      <c r="E30" s="526"/>
      <c r="F30" s="526"/>
      <c r="G30" s="526"/>
      <c r="H30" s="526" t="s">
        <v>18</v>
      </c>
      <c r="I30" s="526" t="s">
        <v>18</v>
      </c>
      <c r="J30" s="526"/>
      <c r="K30" s="526">
        <v>100</v>
      </c>
      <c r="L30" s="526" t="s">
        <v>18</v>
      </c>
      <c r="M30" s="526" t="s">
        <v>18</v>
      </c>
      <c r="N30" s="526"/>
      <c r="O30" s="526"/>
      <c r="P30" s="526">
        <v>15</v>
      </c>
      <c r="Q30" s="526">
        <v>2013</v>
      </c>
      <c r="R30" s="526"/>
      <c r="S30" s="526"/>
      <c r="T30" s="526" t="s">
        <v>330</v>
      </c>
      <c r="U30" s="526" t="s">
        <v>18</v>
      </c>
      <c r="V30" s="526"/>
      <c r="W30" s="526"/>
      <c r="X30" s="526"/>
      <c r="Y30" s="526"/>
      <c r="Z30" s="526" t="s">
        <v>18</v>
      </c>
      <c r="AA30" s="526"/>
      <c r="AB30" s="526"/>
    </row>
    <row r="31" spans="1:28">
      <c r="A31" s="530">
        <v>28</v>
      </c>
      <c r="B31" s="750" t="s">
        <v>379</v>
      </c>
      <c r="C31" s="751"/>
      <c r="D31" s="526" t="s">
        <v>380</v>
      </c>
      <c r="E31" s="526">
        <v>501760214</v>
      </c>
      <c r="F31" s="526" t="s">
        <v>18</v>
      </c>
      <c r="G31" s="526"/>
      <c r="H31" s="526"/>
      <c r="I31" s="526" t="s">
        <v>18</v>
      </c>
      <c r="J31" s="526"/>
      <c r="K31" s="526">
        <v>130</v>
      </c>
      <c r="L31" s="526" t="s">
        <v>18</v>
      </c>
      <c r="M31" s="526" t="s">
        <v>18</v>
      </c>
      <c r="N31" s="526"/>
      <c r="O31" s="526"/>
      <c r="P31" s="532">
        <v>15</v>
      </c>
      <c r="Q31" s="526">
        <v>2002</v>
      </c>
      <c r="R31" s="526" t="s">
        <v>18</v>
      </c>
      <c r="S31" s="526" t="s">
        <v>18</v>
      </c>
      <c r="T31" s="526" t="s">
        <v>18</v>
      </c>
      <c r="U31" s="526"/>
      <c r="V31" s="526"/>
      <c r="W31" s="526"/>
      <c r="X31" s="526"/>
      <c r="Y31" s="526"/>
      <c r="Z31" s="526"/>
      <c r="AA31" s="526" t="s">
        <v>18</v>
      </c>
      <c r="AB31" s="526"/>
    </row>
    <row r="32" spans="1:28">
      <c r="A32" s="530">
        <v>29</v>
      </c>
      <c r="B32" s="750" t="s">
        <v>381</v>
      </c>
      <c r="C32" s="751"/>
      <c r="D32" s="526" t="s">
        <v>382</v>
      </c>
      <c r="E32" s="526">
        <v>665017998</v>
      </c>
      <c r="F32" s="526" t="s">
        <v>18</v>
      </c>
      <c r="G32" s="526"/>
      <c r="H32" s="526"/>
      <c r="I32" s="526" t="s">
        <v>18</v>
      </c>
      <c r="J32" s="526"/>
      <c r="K32" s="526">
        <v>100</v>
      </c>
      <c r="L32" s="526"/>
      <c r="M32" s="526" t="s">
        <v>18</v>
      </c>
      <c r="N32" s="526"/>
      <c r="O32" s="526"/>
      <c r="P32" s="526">
        <v>1.5</v>
      </c>
      <c r="Q32" s="526">
        <v>2004</v>
      </c>
      <c r="R32" s="526" t="s">
        <v>18</v>
      </c>
      <c r="S32" s="526" t="s">
        <v>18</v>
      </c>
      <c r="T32" s="526"/>
      <c r="U32" s="526"/>
      <c r="V32" s="526"/>
      <c r="W32" s="526"/>
      <c r="X32" s="526" t="s">
        <v>340</v>
      </c>
      <c r="Y32" s="526"/>
      <c r="Z32" s="526"/>
      <c r="AA32" s="526" t="s">
        <v>18</v>
      </c>
      <c r="AB32" s="526"/>
    </row>
    <row r="33" spans="1:28">
      <c r="A33" s="530">
        <v>30</v>
      </c>
      <c r="B33" s="750" t="s">
        <v>383</v>
      </c>
      <c r="C33" s="751"/>
      <c r="D33" s="526" t="s">
        <v>384</v>
      </c>
      <c r="E33" s="526">
        <v>796741007</v>
      </c>
      <c r="F33" s="526" t="s">
        <v>18</v>
      </c>
      <c r="G33" s="526"/>
      <c r="H33" s="526"/>
      <c r="I33" s="526"/>
      <c r="J33" s="526" t="s">
        <v>18</v>
      </c>
      <c r="K33" s="526">
        <v>62.5</v>
      </c>
      <c r="L33" s="526"/>
      <c r="M33" s="526"/>
      <c r="N33" s="526"/>
      <c r="O33" s="526" t="s">
        <v>330</v>
      </c>
      <c r="P33" s="526">
        <v>105</v>
      </c>
      <c r="Q33" s="526">
        <v>1993</v>
      </c>
      <c r="R33" s="526" t="s">
        <v>18</v>
      </c>
      <c r="S33" s="526"/>
      <c r="T33" s="526"/>
      <c r="U33" s="526" t="s">
        <v>18</v>
      </c>
      <c r="V33" s="526"/>
      <c r="W33" s="526"/>
      <c r="X33" s="526"/>
      <c r="Y33" s="526"/>
      <c r="Z33" s="526" t="s">
        <v>18</v>
      </c>
      <c r="AA33" s="526"/>
      <c r="AB33" s="526"/>
    </row>
    <row r="34" spans="1:28">
      <c r="A34" s="530">
        <v>31</v>
      </c>
      <c r="B34" s="750" t="s">
        <v>385</v>
      </c>
      <c r="C34" s="751"/>
      <c r="D34" s="526" t="s">
        <v>386</v>
      </c>
      <c r="E34" s="526">
        <v>506512126</v>
      </c>
      <c r="F34" s="526"/>
      <c r="G34" s="526" t="s">
        <v>18</v>
      </c>
      <c r="H34" s="526"/>
      <c r="I34" s="526" t="s">
        <v>18</v>
      </c>
      <c r="J34" s="526"/>
      <c r="K34" s="526">
        <v>130</v>
      </c>
      <c r="L34" s="526" t="s">
        <v>18</v>
      </c>
      <c r="M34" s="526"/>
      <c r="N34" s="526"/>
      <c r="O34" s="526"/>
      <c r="P34" s="526">
        <v>20</v>
      </c>
      <c r="Q34" s="526"/>
      <c r="R34" s="526"/>
      <c r="S34" s="526" t="s">
        <v>18</v>
      </c>
      <c r="T34" s="526"/>
      <c r="U34" s="526" t="s">
        <v>18</v>
      </c>
      <c r="V34" s="526" t="s">
        <v>18</v>
      </c>
      <c r="W34" s="526"/>
      <c r="X34" s="526" t="s">
        <v>340</v>
      </c>
      <c r="Y34" s="526"/>
      <c r="Z34" s="526"/>
      <c r="AA34" s="526"/>
      <c r="AB34" s="526" t="s">
        <v>18</v>
      </c>
    </row>
    <row r="35" spans="1:28" ht="19.2" customHeight="1">
      <c r="A35" s="530">
        <v>32</v>
      </c>
      <c r="B35" s="750" t="s">
        <v>196</v>
      </c>
      <c r="C35" s="751"/>
      <c r="D35" s="526" t="s">
        <v>387</v>
      </c>
      <c r="E35" s="526">
        <v>609712204</v>
      </c>
      <c r="F35" s="526" t="s">
        <v>18</v>
      </c>
      <c r="G35" s="526"/>
      <c r="H35" s="526"/>
      <c r="I35" s="526" t="s">
        <v>18</v>
      </c>
      <c r="J35" s="526"/>
      <c r="K35" s="526">
        <v>100</v>
      </c>
      <c r="L35" s="526" t="s">
        <v>18</v>
      </c>
      <c r="M35" s="526"/>
      <c r="N35" s="526"/>
      <c r="O35" s="526"/>
      <c r="P35" s="526">
        <v>18</v>
      </c>
      <c r="Q35" s="526">
        <v>2006</v>
      </c>
      <c r="R35" s="526" t="s">
        <v>18</v>
      </c>
      <c r="S35" s="526"/>
      <c r="T35" s="526" t="s">
        <v>327</v>
      </c>
      <c r="U35" s="526"/>
      <c r="V35" s="526"/>
      <c r="W35" s="526"/>
      <c r="X35" s="526" t="s">
        <v>340</v>
      </c>
      <c r="Y35" s="526"/>
      <c r="Z35" s="526"/>
      <c r="AA35" s="526"/>
      <c r="AB35" s="526" t="s">
        <v>18</v>
      </c>
    </row>
    <row r="36" spans="1:28">
      <c r="A36" s="530">
        <v>33</v>
      </c>
      <c r="B36" s="750" t="s">
        <v>388</v>
      </c>
      <c r="C36" s="751"/>
      <c r="D36" s="526" t="s">
        <v>389</v>
      </c>
      <c r="E36" s="526"/>
      <c r="F36" s="526" t="s">
        <v>18</v>
      </c>
      <c r="G36" s="526"/>
      <c r="H36" s="526"/>
      <c r="I36" s="526" t="s">
        <v>18</v>
      </c>
      <c r="J36" s="526"/>
      <c r="K36" s="526">
        <v>70</v>
      </c>
      <c r="L36" s="526" t="s">
        <v>18</v>
      </c>
      <c r="M36" s="526"/>
      <c r="N36" s="526"/>
      <c r="O36" s="526"/>
      <c r="P36" s="526">
        <v>10</v>
      </c>
      <c r="Q36" s="526">
        <v>1996</v>
      </c>
      <c r="R36" s="526" t="s">
        <v>18</v>
      </c>
      <c r="S36" s="526" t="s">
        <v>18</v>
      </c>
      <c r="T36" s="526"/>
      <c r="U36" s="526"/>
      <c r="V36" s="526"/>
      <c r="W36" s="526"/>
      <c r="X36" s="526" t="s">
        <v>340</v>
      </c>
      <c r="Y36" s="526" t="s">
        <v>18</v>
      </c>
      <c r="Z36" s="526"/>
      <c r="AA36" s="526"/>
      <c r="AB36" s="526"/>
    </row>
    <row r="37" spans="1:28">
      <c r="A37" s="530">
        <v>34</v>
      </c>
      <c r="B37" s="750" t="s">
        <v>390</v>
      </c>
      <c r="C37" s="751"/>
      <c r="D37" s="526" t="s">
        <v>391</v>
      </c>
      <c r="E37" s="526">
        <v>531562128</v>
      </c>
      <c r="F37" s="526" t="s">
        <v>18</v>
      </c>
      <c r="G37" s="526"/>
      <c r="H37" s="526"/>
      <c r="I37" s="526" t="s">
        <v>18</v>
      </c>
      <c r="J37" s="526"/>
      <c r="K37" s="526">
        <v>120</v>
      </c>
      <c r="L37" s="526" t="s">
        <v>18</v>
      </c>
      <c r="M37" s="526"/>
      <c r="N37" s="526"/>
      <c r="O37" s="526"/>
      <c r="P37" s="526">
        <v>19</v>
      </c>
      <c r="Q37" s="526">
        <v>2004</v>
      </c>
      <c r="R37" s="526"/>
      <c r="S37" s="526"/>
      <c r="T37" s="526" t="s">
        <v>330</v>
      </c>
      <c r="U37" s="526" t="s">
        <v>339</v>
      </c>
      <c r="V37" s="526"/>
      <c r="W37" s="526"/>
      <c r="X37" s="526"/>
      <c r="Y37" s="526" t="s">
        <v>339</v>
      </c>
      <c r="Z37" s="526"/>
      <c r="AA37" s="526"/>
      <c r="AB37" s="526"/>
    </row>
    <row r="38" spans="1:28">
      <c r="A38" s="530">
        <v>35</v>
      </c>
      <c r="B38" s="750" t="s">
        <v>392</v>
      </c>
      <c r="C38" s="751"/>
      <c r="D38" s="526" t="s">
        <v>393</v>
      </c>
      <c r="E38" s="526">
        <v>793480338</v>
      </c>
      <c r="F38" s="526" t="s">
        <v>18</v>
      </c>
      <c r="G38" s="526"/>
      <c r="H38" s="526"/>
      <c r="I38" s="526" t="s">
        <v>18</v>
      </c>
      <c r="J38" s="526"/>
      <c r="K38" s="526">
        <v>112</v>
      </c>
      <c r="L38" s="526" t="s">
        <v>18</v>
      </c>
      <c r="M38" s="526" t="s">
        <v>18</v>
      </c>
      <c r="N38" s="526"/>
      <c r="O38" s="526"/>
      <c r="P38" s="526">
        <v>15</v>
      </c>
      <c r="Q38" s="526">
        <v>2011</v>
      </c>
      <c r="R38" s="526"/>
      <c r="S38" s="526"/>
      <c r="T38" s="526" t="s">
        <v>330</v>
      </c>
      <c r="U38" s="526" t="s">
        <v>18</v>
      </c>
      <c r="V38" s="526"/>
      <c r="W38" s="526"/>
      <c r="X38" s="526"/>
      <c r="Y38" s="526" t="s">
        <v>18</v>
      </c>
      <c r="Z38" s="526"/>
      <c r="AA38" s="526"/>
      <c r="AB38" s="526"/>
    </row>
    <row r="39" spans="1:28">
      <c r="A39" s="530">
        <v>36</v>
      </c>
      <c r="B39" s="750" t="s">
        <v>394</v>
      </c>
      <c r="C39" s="751"/>
      <c r="D39" s="526" t="s">
        <v>395</v>
      </c>
      <c r="E39" s="526">
        <v>690909014</v>
      </c>
      <c r="F39" s="526" t="s">
        <v>18</v>
      </c>
      <c r="G39" s="526"/>
      <c r="H39" s="526"/>
      <c r="I39" s="526" t="s">
        <v>18</v>
      </c>
      <c r="J39" s="526"/>
      <c r="K39" s="526">
        <v>300</v>
      </c>
      <c r="L39" s="526" t="s">
        <v>18</v>
      </c>
      <c r="M39" s="526" t="s">
        <v>18</v>
      </c>
      <c r="N39" s="526"/>
      <c r="O39" s="526"/>
      <c r="P39" s="526">
        <v>28</v>
      </c>
      <c r="Q39" s="526">
        <v>2003</v>
      </c>
      <c r="R39" s="526"/>
      <c r="S39" s="526" t="s">
        <v>18</v>
      </c>
      <c r="T39" s="526" t="s">
        <v>330</v>
      </c>
      <c r="U39" s="526" t="s">
        <v>18</v>
      </c>
      <c r="V39" s="526"/>
      <c r="W39" s="526"/>
      <c r="X39" s="526"/>
      <c r="Y39" s="526" t="s">
        <v>18</v>
      </c>
      <c r="Z39" s="526"/>
      <c r="AA39" s="526"/>
      <c r="AB39" s="526"/>
    </row>
    <row r="40" spans="1:28">
      <c r="A40" s="530">
        <v>37</v>
      </c>
      <c r="B40" s="750" t="s">
        <v>396</v>
      </c>
      <c r="C40" s="751"/>
      <c r="D40" s="526" t="s">
        <v>397</v>
      </c>
      <c r="E40" s="526">
        <v>606755263</v>
      </c>
      <c r="F40" s="526" t="s">
        <v>18</v>
      </c>
      <c r="G40" s="526"/>
      <c r="H40" s="526"/>
      <c r="I40" s="526" t="s">
        <v>18</v>
      </c>
      <c r="J40" s="526"/>
      <c r="K40" s="526">
        <v>200</v>
      </c>
      <c r="L40" s="526" t="s">
        <v>18</v>
      </c>
      <c r="M40" s="526"/>
      <c r="N40" s="526"/>
      <c r="O40" s="526"/>
      <c r="P40" s="526">
        <v>28</v>
      </c>
      <c r="Q40" s="526">
        <v>2004</v>
      </c>
      <c r="R40" s="526"/>
      <c r="S40" s="526"/>
      <c r="T40" s="526" t="s">
        <v>330</v>
      </c>
      <c r="U40" s="526"/>
      <c r="V40" s="526"/>
      <c r="W40" s="526"/>
      <c r="X40" s="526" t="s">
        <v>340</v>
      </c>
      <c r="Y40" s="526" t="s">
        <v>18</v>
      </c>
      <c r="Z40" s="526"/>
      <c r="AA40" s="526"/>
      <c r="AB40" s="526"/>
    </row>
    <row r="41" spans="1:28">
      <c r="A41" s="530">
        <v>38</v>
      </c>
      <c r="B41" s="750" t="s">
        <v>398</v>
      </c>
      <c r="C41" s="751"/>
      <c r="D41" s="526" t="s">
        <v>399</v>
      </c>
      <c r="E41" s="526">
        <v>798365392</v>
      </c>
      <c r="F41" s="526" t="s">
        <v>18</v>
      </c>
      <c r="G41" s="526"/>
      <c r="H41" s="526"/>
      <c r="I41" s="526" t="s">
        <v>18</v>
      </c>
      <c r="J41" s="526"/>
      <c r="K41" s="526">
        <v>160</v>
      </c>
      <c r="L41" s="526" t="s">
        <v>18</v>
      </c>
      <c r="M41" s="526" t="s">
        <v>18</v>
      </c>
      <c r="N41" s="526"/>
      <c r="O41" s="526"/>
      <c r="P41" s="526">
        <v>11</v>
      </c>
      <c r="Q41" s="526">
        <v>1979</v>
      </c>
      <c r="R41" s="526" t="s">
        <v>18</v>
      </c>
      <c r="S41" s="526"/>
      <c r="T41" s="526"/>
      <c r="U41" s="526"/>
      <c r="V41" s="526"/>
      <c r="W41" s="526"/>
      <c r="X41" s="526" t="s">
        <v>21</v>
      </c>
      <c r="Y41" s="526" t="s">
        <v>18</v>
      </c>
      <c r="Z41" s="526"/>
      <c r="AA41" s="526"/>
      <c r="AB41" s="526"/>
    </row>
    <row r="42" spans="1:28">
      <c r="A42" s="530">
        <v>39</v>
      </c>
      <c r="B42" s="750" t="s">
        <v>400</v>
      </c>
      <c r="C42" s="751"/>
      <c r="D42" s="526" t="s">
        <v>401</v>
      </c>
      <c r="E42" s="526">
        <v>695440920</v>
      </c>
      <c r="F42" s="526" t="s">
        <v>18</v>
      </c>
      <c r="G42" s="526"/>
      <c r="H42" s="526"/>
      <c r="I42" s="526" t="s">
        <v>18</v>
      </c>
      <c r="J42" s="526"/>
      <c r="K42" s="526">
        <v>80</v>
      </c>
      <c r="L42" s="526" t="s">
        <v>18</v>
      </c>
      <c r="M42" s="526" t="s">
        <v>18</v>
      </c>
      <c r="N42" s="526"/>
      <c r="O42" s="526" t="s">
        <v>330</v>
      </c>
      <c r="P42" s="526">
        <v>16</v>
      </c>
      <c r="Q42" s="526">
        <v>1998</v>
      </c>
      <c r="R42" s="526" t="s">
        <v>18</v>
      </c>
      <c r="S42" s="526"/>
      <c r="T42" s="526"/>
      <c r="U42" s="526"/>
      <c r="V42" s="526"/>
      <c r="W42" s="526"/>
      <c r="X42" s="526" t="s">
        <v>340</v>
      </c>
      <c r="Y42" s="526"/>
      <c r="Z42" s="526" t="s">
        <v>18</v>
      </c>
      <c r="AA42" s="526"/>
      <c r="AB42" s="526"/>
    </row>
    <row r="43" spans="1:28">
      <c r="A43" s="530">
        <v>40</v>
      </c>
      <c r="B43" s="750" t="s">
        <v>402</v>
      </c>
      <c r="C43" s="751"/>
      <c r="D43" s="526" t="s">
        <v>403</v>
      </c>
      <c r="E43" s="526">
        <v>600682415</v>
      </c>
      <c r="F43" s="526" t="s">
        <v>18</v>
      </c>
      <c r="G43" s="526"/>
      <c r="H43" s="526"/>
      <c r="I43" s="526" t="s">
        <v>18</v>
      </c>
      <c r="J43" s="526"/>
      <c r="K43" s="526">
        <v>134</v>
      </c>
      <c r="L43" s="526" t="s">
        <v>18</v>
      </c>
      <c r="M43" s="526" t="s">
        <v>18</v>
      </c>
      <c r="N43" s="526"/>
      <c r="O43" s="526"/>
      <c r="P43" s="526">
        <v>18</v>
      </c>
      <c r="Q43" s="526">
        <v>2004</v>
      </c>
      <c r="R43" s="526" t="s">
        <v>18</v>
      </c>
      <c r="S43" s="526"/>
      <c r="T43" s="526"/>
      <c r="U43" s="526"/>
      <c r="V43" s="526" t="s">
        <v>18</v>
      </c>
      <c r="W43" s="526"/>
      <c r="X43" s="526"/>
      <c r="Y43" s="526" t="s">
        <v>18</v>
      </c>
      <c r="Z43" s="526"/>
      <c r="AA43" s="526"/>
      <c r="AB43" s="526"/>
    </row>
    <row r="44" spans="1:28">
      <c r="A44" s="530">
        <v>41</v>
      </c>
      <c r="B44" s="750" t="s">
        <v>404</v>
      </c>
      <c r="C44" s="751"/>
      <c r="D44" s="526" t="s">
        <v>405</v>
      </c>
      <c r="E44" s="526">
        <v>661213564</v>
      </c>
      <c r="F44" s="526" t="s">
        <v>18</v>
      </c>
      <c r="G44" s="526"/>
      <c r="H44" s="526"/>
      <c r="I44" s="526" t="s">
        <v>18</v>
      </c>
      <c r="J44" s="526"/>
      <c r="K44" s="526">
        <v>150</v>
      </c>
      <c r="L44" s="526"/>
      <c r="M44" s="526"/>
      <c r="N44" s="526"/>
      <c r="O44" s="526"/>
      <c r="P44" s="526"/>
      <c r="Q44" s="526"/>
      <c r="R44" s="526"/>
      <c r="S44" s="526"/>
      <c r="T44" s="526"/>
      <c r="U44" s="526" t="s">
        <v>18</v>
      </c>
      <c r="V44" s="526"/>
      <c r="W44" s="526"/>
      <c r="X44" s="526"/>
      <c r="Y44" s="526" t="s">
        <v>18</v>
      </c>
      <c r="Z44" s="526"/>
      <c r="AA44" s="526"/>
      <c r="AB44" s="526"/>
    </row>
    <row r="45" spans="1:28">
      <c r="A45" s="530">
        <v>42</v>
      </c>
      <c r="B45" s="750" t="s">
        <v>406</v>
      </c>
      <c r="C45" s="751"/>
      <c r="D45" s="526" t="s">
        <v>407</v>
      </c>
      <c r="E45" s="526">
        <v>515069452</v>
      </c>
      <c r="F45" s="526" t="s">
        <v>18</v>
      </c>
      <c r="G45" s="526"/>
      <c r="H45" s="526"/>
      <c r="I45" s="526" t="s">
        <v>18</v>
      </c>
      <c r="J45" s="526"/>
      <c r="K45" s="526">
        <v>174</v>
      </c>
      <c r="L45" s="526"/>
      <c r="M45" s="526"/>
      <c r="N45" s="526"/>
      <c r="O45" s="526" t="s">
        <v>356</v>
      </c>
      <c r="P45" s="526">
        <v>14</v>
      </c>
      <c r="Q45" s="526">
        <v>2002</v>
      </c>
      <c r="R45" s="526"/>
      <c r="S45" s="526"/>
      <c r="T45" s="526" t="s">
        <v>330</v>
      </c>
      <c r="U45" s="526" t="s">
        <v>18</v>
      </c>
      <c r="V45" s="526"/>
      <c r="W45" s="526"/>
      <c r="X45" s="526"/>
      <c r="Y45" s="526"/>
      <c r="Z45" s="526" t="s">
        <v>18</v>
      </c>
      <c r="AA45" s="526"/>
      <c r="AB45" s="526"/>
    </row>
    <row r="46" spans="1:28">
      <c r="A46" s="530">
        <v>43</v>
      </c>
      <c r="B46" s="750" t="s">
        <v>408</v>
      </c>
      <c r="C46" s="751"/>
      <c r="D46" s="526" t="s">
        <v>409</v>
      </c>
      <c r="E46" s="526">
        <v>723704629</v>
      </c>
      <c r="F46" s="526" t="s">
        <v>18</v>
      </c>
      <c r="G46" s="526"/>
      <c r="H46" s="526"/>
      <c r="I46" s="526" t="s">
        <v>18</v>
      </c>
      <c r="J46" s="526"/>
      <c r="K46" s="526">
        <v>110</v>
      </c>
      <c r="L46" s="526" t="s">
        <v>18</v>
      </c>
      <c r="M46" s="526" t="s">
        <v>18</v>
      </c>
      <c r="N46" s="526"/>
      <c r="O46" s="526"/>
      <c r="P46" s="526">
        <v>21</v>
      </c>
      <c r="Q46" s="526">
        <v>1985</v>
      </c>
      <c r="R46" s="526"/>
      <c r="S46" s="526"/>
      <c r="T46" s="526" t="s">
        <v>330</v>
      </c>
      <c r="U46" s="526" t="s">
        <v>18</v>
      </c>
      <c r="V46" s="526"/>
      <c r="W46" s="526"/>
      <c r="X46" s="526"/>
      <c r="Y46" s="526" t="s">
        <v>18</v>
      </c>
      <c r="Z46" s="526"/>
      <c r="AA46" s="526"/>
      <c r="AB46" s="526"/>
    </row>
    <row r="47" spans="1:28">
      <c r="A47" s="530">
        <v>44</v>
      </c>
      <c r="B47" s="750" t="s">
        <v>410</v>
      </c>
      <c r="C47" s="751"/>
      <c r="D47" s="526" t="s">
        <v>411</v>
      </c>
      <c r="E47" s="526">
        <v>601458077</v>
      </c>
      <c r="F47" s="526" t="s">
        <v>18</v>
      </c>
      <c r="G47" s="526"/>
      <c r="H47" s="526"/>
      <c r="I47" s="526" t="s">
        <v>18</v>
      </c>
      <c r="J47" s="526"/>
      <c r="K47" s="526">
        <v>83</v>
      </c>
      <c r="L47" s="526" t="s">
        <v>18</v>
      </c>
      <c r="M47" s="526" t="s">
        <v>18</v>
      </c>
      <c r="N47" s="526"/>
      <c r="O47" s="526"/>
      <c r="P47" s="526">
        <v>21</v>
      </c>
      <c r="Q47" s="526">
        <v>1997</v>
      </c>
      <c r="R47" s="526" t="s">
        <v>18</v>
      </c>
      <c r="S47" s="526"/>
      <c r="T47" s="526"/>
      <c r="U47" s="526"/>
      <c r="V47" s="526"/>
      <c r="W47" s="526"/>
      <c r="X47" s="526" t="s">
        <v>340</v>
      </c>
      <c r="Y47" s="526" t="s">
        <v>18</v>
      </c>
      <c r="Z47" s="526"/>
      <c r="AA47" s="526"/>
      <c r="AB47" s="526"/>
    </row>
    <row r="48" spans="1:28">
      <c r="A48" s="530">
        <v>45</v>
      </c>
      <c r="B48" s="750" t="s">
        <v>412</v>
      </c>
      <c r="C48" s="751"/>
      <c r="D48" s="526" t="s">
        <v>413</v>
      </c>
      <c r="E48" s="526">
        <v>508011967</v>
      </c>
      <c r="F48" s="526" t="s">
        <v>18</v>
      </c>
      <c r="G48" s="526"/>
      <c r="H48" s="526"/>
      <c r="I48" s="526"/>
      <c r="J48" s="526" t="s">
        <v>18</v>
      </c>
      <c r="K48" s="526">
        <v>50</v>
      </c>
      <c r="L48" s="526"/>
      <c r="M48" s="526"/>
      <c r="N48" s="526"/>
      <c r="O48" s="526" t="s">
        <v>194</v>
      </c>
      <c r="P48" s="526">
        <v>105</v>
      </c>
      <c r="Q48" s="526">
        <v>1993</v>
      </c>
      <c r="R48" s="526" t="s">
        <v>18</v>
      </c>
      <c r="S48" s="526"/>
      <c r="T48" s="526"/>
      <c r="U48" s="526" t="s">
        <v>18</v>
      </c>
      <c r="V48" s="526"/>
      <c r="W48" s="526"/>
      <c r="X48" s="526"/>
      <c r="Y48" s="526"/>
      <c r="Z48" s="526" t="s">
        <v>18</v>
      </c>
      <c r="AA48" s="526"/>
      <c r="AB48" s="526"/>
    </row>
    <row r="49" spans="1:28">
      <c r="A49" s="530">
        <v>46</v>
      </c>
      <c r="B49" s="750" t="s">
        <v>414</v>
      </c>
      <c r="C49" s="751"/>
      <c r="D49" s="526" t="s">
        <v>415</v>
      </c>
      <c r="E49" s="526">
        <v>501648752</v>
      </c>
      <c r="F49" s="526" t="s">
        <v>18</v>
      </c>
      <c r="G49" s="526"/>
      <c r="H49" s="526"/>
      <c r="I49" s="526" t="s">
        <v>18</v>
      </c>
      <c r="J49" s="526"/>
      <c r="K49" s="526">
        <v>212</v>
      </c>
      <c r="L49" s="526" t="s">
        <v>18</v>
      </c>
      <c r="M49" s="526"/>
      <c r="N49" s="526"/>
      <c r="O49" s="526"/>
      <c r="P49" s="526">
        <v>29</v>
      </c>
      <c r="Q49" s="526">
        <v>2006</v>
      </c>
      <c r="R49" s="526" t="s">
        <v>18</v>
      </c>
      <c r="S49" s="526"/>
      <c r="T49" s="526"/>
      <c r="U49" s="526"/>
      <c r="V49" s="526"/>
      <c r="W49" s="526"/>
      <c r="X49" s="526" t="s">
        <v>340</v>
      </c>
      <c r="Y49" s="526" t="s">
        <v>18</v>
      </c>
      <c r="Z49" s="526"/>
      <c r="AA49" s="526"/>
      <c r="AB49" s="526"/>
    </row>
    <row r="50" spans="1:28">
      <c r="A50" s="530">
        <v>47</v>
      </c>
      <c r="B50" s="750" t="s">
        <v>416</v>
      </c>
      <c r="C50" s="751"/>
      <c r="D50" s="526" t="s">
        <v>417</v>
      </c>
      <c r="E50" s="526">
        <v>667060670</v>
      </c>
      <c r="F50" s="526" t="s">
        <v>18</v>
      </c>
      <c r="G50" s="526"/>
      <c r="H50" s="526"/>
      <c r="I50" s="526" t="s">
        <v>18</v>
      </c>
      <c r="J50" s="526"/>
      <c r="K50" s="526">
        <v>120</v>
      </c>
      <c r="L50" s="526"/>
      <c r="M50" s="526"/>
      <c r="N50" s="526"/>
      <c r="O50" s="526" t="s">
        <v>194</v>
      </c>
      <c r="P50" s="526">
        <v>16</v>
      </c>
      <c r="Q50" s="526">
        <v>2006</v>
      </c>
      <c r="R50" s="526" t="s">
        <v>18</v>
      </c>
      <c r="S50" s="526"/>
      <c r="T50" s="526"/>
      <c r="U50" s="526"/>
      <c r="V50" s="526" t="s">
        <v>18</v>
      </c>
      <c r="W50" s="526"/>
      <c r="X50" s="526"/>
      <c r="Y50" s="526" t="s">
        <v>18</v>
      </c>
      <c r="Z50" s="526"/>
      <c r="AA50" s="526"/>
      <c r="AB50" s="526"/>
    </row>
    <row r="51" spans="1:28">
      <c r="A51" s="530">
        <v>48</v>
      </c>
      <c r="B51" s="750" t="s">
        <v>418</v>
      </c>
      <c r="C51" s="751"/>
      <c r="D51" s="526" t="s">
        <v>419</v>
      </c>
      <c r="E51" s="526">
        <v>517382202</v>
      </c>
      <c r="F51" s="526" t="s">
        <v>18</v>
      </c>
      <c r="G51" s="526"/>
      <c r="H51" s="526"/>
      <c r="I51" s="526"/>
      <c r="J51" s="526" t="s">
        <v>18</v>
      </c>
      <c r="K51" s="526">
        <v>71</v>
      </c>
      <c r="L51" s="526"/>
      <c r="M51" s="526"/>
      <c r="N51" s="526"/>
      <c r="O51" s="526" t="s">
        <v>194</v>
      </c>
      <c r="P51" s="526">
        <v>105</v>
      </c>
      <c r="Q51" s="526">
        <v>1993</v>
      </c>
      <c r="R51" s="526" t="s">
        <v>18</v>
      </c>
      <c r="S51" s="526"/>
      <c r="T51" s="526"/>
      <c r="U51" s="526" t="s">
        <v>18</v>
      </c>
      <c r="V51" s="526"/>
      <c r="W51" s="526"/>
      <c r="X51" s="526"/>
      <c r="Y51" s="526"/>
      <c r="Z51" s="526" t="s">
        <v>18</v>
      </c>
      <c r="AA51" s="526"/>
      <c r="AB51" s="526"/>
    </row>
    <row r="52" spans="1:28">
      <c r="A52" s="530">
        <v>49</v>
      </c>
      <c r="B52" s="750" t="s">
        <v>420</v>
      </c>
      <c r="C52" s="751"/>
      <c r="D52" s="526" t="s">
        <v>421</v>
      </c>
      <c r="E52" s="526">
        <v>502164974</v>
      </c>
      <c r="F52" s="526" t="s">
        <v>18</v>
      </c>
      <c r="G52" s="526"/>
      <c r="H52" s="526"/>
      <c r="I52" s="526"/>
      <c r="J52" s="526" t="s">
        <v>18</v>
      </c>
      <c r="K52" s="526">
        <v>71</v>
      </c>
      <c r="L52" s="526"/>
      <c r="M52" s="526"/>
      <c r="N52" s="526"/>
      <c r="O52" s="526" t="s">
        <v>194</v>
      </c>
      <c r="P52" s="526">
        <v>105</v>
      </c>
      <c r="Q52" s="526">
        <v>1993</v>
      </c>
      <c r="R52" s="526" t="s">
        <v>18</v>
      </c>
      <c r="S52" s="526"/>
      <c r="T52" s="526"/>
      <c r="U52" s="526" t="s">
        <v>18</v>
      </c>
      <c r="V52" s="526"/>
      <c r="W52" s="526"/>
      <c r="X52" s="526"/>
      <c r="Y52" s="526"/>
      <c r="Z52" s="526" t="s">
        <v>18</v>
      </c>
      <c r="AA52" s="526"/>
      <c r="AB52" s="526"/>
    </row>
    <row r="53" spans="1:28">
      <c r="A53" s="530">
        <v>50</v>
      </c>
      <c r="B53" s="750" t="s">
        <v>422</v>
      </c>
      <c r="C53" s="751"/>
      <c r="D53" s="526" t="s">
        <v>423</v>
      </c>
      <c r="E53" s="526">
        <v>576064337</v>
      </c>
      <c r="F53" s="526" t="s">
        <v>18</v>
      </c>
      <c r="G53" s="526"/>
      <c r="H53" s="526"/>
      <c r="I53" s="526"/>
      <c r="J53" s="526" t="s">
        <v>18</v>
      </c>
      <c r="K53" s="526">
        <v>74</v>
      </c>
      <c r="L53" s="526"/>
      <c r="M53" s="526"/>
      <c r="N53" s="526"/>
      <c r="O53" s="526" t="s">
        <v>194</v>
      </c>
      <c r="P53" s="526">
        <v>105</v>
      </c>
      <c r="Q53" s="526">
        <v>1993</v>
      </c>
      <c r="R53" s="526" t="s">
        <v>18</v>
      </c>
      <c r="S53" s="526"/>
      <c r="T53" s="526"/>
      <c r="U53" s="526" t="s">
        <v>18</v>
      </c>
      <c r="V53" s="526"/>
      <c r="W53" s="526"/>
      <c r="X53" s="526"/>
      <c r="Y53" s="526"/>
      <c r="Z53" s="526" t="s">
        <v>18</v>
      </c>
      <c r="AA53" s="526"/>
      <c r="AB53" s="526"/>
    </row>
    <row r="54" spans="1:28">
      <c r="A54" s="526">
        <v>51</v>
      </c>
      <c r="B54" s="750" t="s">
        <v>424</v>
      </c>
      <c r="C54" s="751"/>
      <c r="D54" s="526" t="s">
        <v>425</v>
      </c>
      <c r="E54" s="526">
        <v>606928788</v>
      </c>
      <c r="F54" s="526" t="s">
        <v>18</v>
      </c>
      <c r="G54" s="526"/>
      <c r="H54" s="526"/>
      <c r="I54" s="526"/>
      <c r="J54" s="526" t="s">
        <v>18</v>
      </c>
      <c r="K54" s="526">
        <v>62.5</v>
      </c>
      <c r="L54" s="526"/>
      <c r="M54" s="526"/>
      <c r="N54" s="526"/>
      <c r="O54" s="526" t="s">
        <v>194</v>
      </c>
      <c r="P54" s="526">
        <v>105</v>
      </c>
      <c r="Q54" s="526">
        <v>1993</v>
      </c>
      <c r="R54" s="526" t="s">
        <v>18</v>
      </c>
      <c r="S54" s="526"/>
      <c r="T54" s="526"/>
      <c r="U54" s="526" t="s">
        <v>18</v>
      </c>
      <c r="V54" s="526"/>
      <c r="W54" s="526"/>
      <c r="X54" s="526"/>
      <c r="Y54" s="526"/>
      <c r="Z54" s="526" t="s">
        <v>18</v>
      </c>
      <c r="AA54" s="526"/>
      <c r="AB54" s="526"/>
    </row>
    <row r="55" spans="1:28">
      <c r="A55" s="526">
        <v>52</v>
      </c>
      <c r="B55" s="750" t="s">
        <v>426</v>
      </c>
      <c r="C55" s="751"/>
      <c r="D55" s="526" t="s">
        <v>427</v>
      </c>
      <c r="E55" s="526">
        <v>665744458</v>
      </c>
      <c r="F55" s="526" t="s">
        <v>18</v>
      </c>
      <c r="G55" s="526"/>
      <c r="H55" s="526"/>
      <c r="I55" s="526"/>
      <c r="J55" s="526" t="s">
        <v>18</v>
      </c>
      <c r="K55" s="526">
        <v>62.5</v>
      </c>
      <c r="L55" s="526"/>
      <c r="M55" s="526"/>
      <c r="N55" s="526"/>
      <c r="O55" s="526" t="s">
        <v>194</v>
      </c>
      <c r="P55" s="526">
        <v>105</v>
      </c>
      <c r="Q55" s="526">
        <v>1992</v>
      </c>
      <c r="R55" s="526" t="s">
        <v>18</v>
      </c>
      <c r="S55" s="526"/>
      <c r="T55" s="526"/>
      <c r="U55" s="526" t="s">
        <v>18</v>
      </c>
      <c r="V55" s="526"/>
      <c r="W55" s="526"/>
      <c r="X55" s="526"/>
      <c r="Y55" s="526"/>
      <c r="Z55" s="526" t="s">
        <v>18</v>
      </c>
      <c r="AA55" s="526"/>
      <c r="AB55" s="526"/>
    </row>
    <row r="56" spans="1:28">
      <c r="A56" s="526">
        <v>53</v>
      </c>
      <c r="B56" s="750" t="s">
        <v>428</v>
      </c>
      <c r="C56" s="751"/>
      <c r="D56" s="526" t="s">
        <v>429</v>
      </c>
      <c r="E56" s="526">
        <v>512751544</v>
      </c>
      <c r="F56" s="526" t="s">
        <v>18</v>
      </c>
      <c r="G56" s="526"/>
      <c r="H56" s="526"/>
      <c r="I56" s="526" t="s">
        <v>18</v>
      </c>
      <c r="J56" s="526"/>
      <c r="K56" s="526">
        <v>140</v>
      </c>
      <c r="L56" s="526" t="s">
        <v>18</v>
      </c>
      <c r="M56" s="526"/>
      <c r="N56" s="526"/>
      <c r="O56" s="526"/>
      <c r="P56" s="526">
        <v>22</v>
      </c>
      <c r="Q56" s="526">
        <v>2001</v>
      </c>
      <c r="R56" s="526"/>
      <c r="S56" s="526"/>
      <c r="T56" s="526" t="s">
        <v>194</v>
      </c>
      <c r="U56" s="526"/>
      <c r="V56" s="526" t="s">
        <v>18</v>
      </c>
      <c r="W56" s="526"/>
      <c r="X56" s="526"/>
      <c r="Y56" s="526" t="s">
        <v>18</v>
      </c>
      <c r="Z56" s="526"/>
      <c r="AA56" s="526"/>
      <c r="AB56" s="526"/>
    </row>
    <row r="57" spans="1:28">
      <c r="A57" s="526">
        <v>54</v>
      </c>
      <c r="B57" s="755" t="s">
        <v>430</v>
      </c>
      <c r="C57" s="756"/>
      <c r="D57" s="533" t="s">
        <v>431</v>
      </c>
      <c r="E57" s="533">
        <v>694788107</v>
      </c>
      <c r="F57" s="533" t="s">
        <v>18</v>
      </c>
      <c r="G57" s="533"/>
      <c r="H57" s="533"/>
      <c r="I57" s="533" t="s">
        <v>18</v>
      </c>
      <c r="J57" s="533"/>
      <c r="K57" s="533">
        <v>120</v>
      </c>
      <c r="L57" s="533" t="s">
        <v>18</v>
      </c>
      <c r="M57" s="533" t="s">
        <v>18</v>
      </c>
      <c r="N57" s="533"/>
      <c r="O57" s="533"/>
      <c r="P57" s="533">
        <v>16</v>
      </c>
      <c r="Q57" s="533">
        <v>2001</v>
      </c>
      <c r="R57" s="533"/>
      <c r="S57" s="533"/>
      <c r="T57" s="533" t="s">
        <v>194</v>
      </c>
      <c r="U57" s="533" t="s">
        <v>18</v>
      </c>
      <c r="V57" s="533"/>
      <c r="W57" s="533"/>
      <c r="X57" s="533"/>
      <c r="Y57" s="533" t="s">
        <v>18</v>
      </c>
      <c r="Z57" s="533"/>
      <c r="AA57" s="533"/>
      <c r="AB57" s="533"/>
    </row>
    <row r="58" spans="1:28" ht="16.2" customHeight="1">
      <c r="A58" s="526">
        <v>55</v>
      </c>
      <c r="B58" s="746" t="s">
        <v>432</v>
      </c>
      <c r="C58" s="746"/>
      <c r="D58" s="526" t="s">
        <v>433</v>
      </c>
      <c r="E58" s="526">
        <v>604218448</v>
      </c>
      <c r="F58" s="526" t="s">
        <v>18</v>
      </c>
      <c r="G58" s="526"/>
      <c r="H58" s="526"/>
      <c r="I58" s="526" t="s">
        <v>18</v>
      </c>
      <c r="J58" s="526"/>
      <c r="K58" s="526">
        <v>140</v>
      </c>
      <c r="L58" s="526" t="s">
        <v>18</v>
      </c>
      <c r="M58" s="526"/>
      <c r="N58" s="526"/>
      <c r="O58" s="526"/>
      <c r="P58" s="526">
        <v>16</v>
      </c>
      <c r="Q58" s="526">
        <v>1998</v>
      </c>
      <c r="R58" s="526"/>
      <c r="S58" s="526"/>
      <c r="T58" s="526" t="s">
        <v>194</v>
      </c>
      <c r="U58" s="526" t="s">
        <v>18</v>
      </c>
      <c r="V58" s="526"/>
      <c r="W58" s="526"/>
      <c r="X58" s="526"/>
      <c r="Y58" s="526" t="s">
        <v>18</v>
      </c>
      <c r="Z58" s="526"/>
      <c r="AA58" s="526"/>
      <c r="AB58" s="526"/>
    </row>
    <row r="59" spans="1:28">
      <c r="A59" s="526">
        <v>56</v>
      </c>
      <c r="B59" s="750" t="s">
        <v>434</v>
      </c>
      <c r="C59" s="751"/>
      <c r="D59" s="526" t="s">
        <v>435</v>
      </c>
      <c r="E59" s="526">
        <v>503545276</v>
      </c>
      <c r="F59" s="526" t="s">
        <v>18</v>
      </c>
      <c r="G59" s="526"/>
      <c r="H59" s="526"/>
      <c r="I59" s="526" t="s">
        <v>18</v>
      </c>
      <c r="J59" s="526"/>
      <c r="K59" s="526">
        <v>150</v>
      </c>
      <c r="L59" s="526" t="s">
        <v>18</v>
      </c>
      <c r="M59" s="526" t="s">
        <v>18</v>
      </c>
      <c r="N59" s="526"/>
      <c r="O59" s="526"/>
      <c r="P59" s="526">
        <v>1.1000000000000001</v>
      </c>
      <c r="Q59" s="526">
        <v>1986</v>
      </c>
      <c r="R59" s="526"/>
      <c r="S59" s="526"/>
      <c r="T59" s="526" t="s">
        <v>194</v>
      </c>
      <c r="U59" s="526" t="s">
        <v>18</v>
      </c>
      <c r="V59" s="526"/>
      <c r="W59" s="526"/>
      <c r="X59" s="526"/>
      <c r="Y59" s="526" t="s">
        <v>18</v>
      </c>
      <c r="Z59" s="526"/>
      <c r="AA59" s="526"/>
      <c r="AB59" s="526"/>
    </row>
    <row r="60" spans="1:28">
      <c r="A60" s="526">
        <v>57</v>
      </c>
      <c r="B60" s="750" t="s">
        <v>436</v>
      </c>
      <c r="C60" s="751"/>
      <c r="D60" s="526" t="s">
        <v>437</v>
      </c>
      <c r="E60" s="526">
        <v>609437518</v>
      </c>
      <c r="F60" s="526" t="s">
        <v>18</v>
      </c>
      <c r="G60" s="526"/>
      <c r="H60" s="526"/>
      <c r="I60" s="526" t="s">
        <v>18</v>
      </c>
      <c r="J60" s="526"/>
      <c r="K60" s="526">
        <v>140</v>
      </c>
      <c r="L60" s="526" t="s">
        <v>18</v>
      </c>
      <c r="M60" s="526" t="s">
        <v>18</v>
      </c>
      <c r="N60" s="526"/>
      <c r="O60" s="526"/>
      <c r="P60" s="526">
        <v>17</v>
      </c>
      <c r="Q60" s="526">
        <v>2003</v>
      </c>
      <c r="R60" s="526"/>
      <c r="S60" s="526"/>
      <c r="T60" s="526" t="s">
        <v>327</v>
      </c>
      <c r="U60" s="526" t="s">
        <v>18</v>
      </c>
      <c r="V60" s="526"/>
      <c r="W60" s="526"/>
      <c r="X60" s="526"/>
      <c r="Y60" s="526" t="s">
        <v>18</v>
      </c>
      <c r="Z60" s="526"/>
      <c r="AA60" s="526"/>
      <c r="AB60" s="526"/>
    </row>
    <row r="61" spans="1:28">
      <c r="A61" s="526">
        <v>58</v>
      </c>
      <c r="B61" s="750" t="s">
        <v>438</v>
      </c>
      <c r="C61" s="751"/>
      <c r="D61" s="526" t="s">
        <v>439</v>
      </c>
      <c r="E61" s="526">
        <v>504061642</v>
      </c>
      <c r="F61" s="526" t="s">
        <v>18</v>
      </c>
      <c r="G61" s="526"/>
      <c r="H61" s="526"/>
      <c r="I61" s="526" t="s">
        <v>18</v>
      </c>
      <c r="J61" s="526"/>
      <c r="K61" s="526">
        <v>160</v>
      </c>
      <c r="L61" s="526" t="s">
        <v>18</v>
      </c>
      <c r="M61" s="526"/>
      <c r="N61" s="526"/>
      <c r="O61" s="526"/>
      <c r="P61" s="526">
        <v>21</v>
      </c>
      <c r="Q61" s="526">
        <v>1995</v>
      </c>
      <c r="R61" s="526" t="s">
        <v>18</v>
      </c>
      <c r="S61" s="526"/>
      <c r="T61" s="526"/>
      <c r="U61" s="526" t="s">
        <v>18</v>
      </c>
      <c r="V61" s="526"/>
      <c r="W61" s="526"/>
      <c r="X61" s="526"/>
      <c r="Y61" s="526"/>
      <c r="Z61" s="526" t="s">
        <v>18</v>
      </c>
      <c r="AA61" s="526"/>
      <c r="AB61" s="526"/>
    </row>
    <row r="62" spans="1:28">
      <c r="A62" s="526">
        <v>59</v>
      </c>
      <c r="B62" s="750" t="s">
        <v>440</v>
      </c>
      <c r="C62" s="751"/>
      <c r="D62" s="526" t="s">
        <v>441</v>
      </c>
      <c r="E62" s="526">
        <v>796119624</v>
      </c>
      <c r="F62" s="526" t="s">
        <v>18</v>
      </c>
      <c r="G62" s="526"/>
      <c r="H62" s="526"/>
      <c r="I62" s="526" t="s">
        <v>18</v>
      </c>
      <c r="J62" s="526"/>
      <c r="K62" s="526">
        <v>160</v>
      </c>
      <c r="L62" s="526" t="s">
        <v>18</v>
      </c>
      <c r="M62" s="526" t="s">
        <v>18</v>
      </c>
      <c r="N62" s="526"/>
      <c r="O62" s="526"/>
      <c r="P62" s="526" t="s">
        <v>19</v>
      </c>
      <c r="Q62" s="526">
        <v>2003</v>
      </c>
      <c r="R62" s="526" t="s">
        <v>18</v>
      </c>
      <c r="S62" s="526"/>
      <c r="T62" s="526"/>
      <c r="U62" s="526" t="s">
        <v>18</v>
      </c>
      <c r="V62" s="526"/>
      <c r="W62" s="526"/>
      <c r="X62" s="526"/>
      <c r="Y62" s="526" t="s">
        <v>18</v>
      </c>
      <c r="Z62" s="526"/>
      <c r="AA62" s="526"/>
      <c r="AB62" s="526"/>
    </row>
    <row r="63" spans="1:28">
      <c r="A63" s="526">
        <v>60</v>
      </c>
      <c r="B63" s="750" t="s">
        <v>442</v>
      </c>
      <c r="C63" s="751"/>
      <c r="D63" s="526" t="s">
        <v>443</v>
      </c>
      <c r="E63" s="526" t="s">
        <v>19</v>
      </c>
      <c r="F63" s="526" t="s">
        <v>18</v>
      </c>
      <c r="G63" s="526"/>
      <c r="H63" s="526"/>
      <c r="I63" s="526" t="s">
        <v>18</v>
      </c>
      <c r="J63" s="526"/>
      <c r="K63" s="526">
        <v>100</v>
      </c>
      <c r="L63" s="526"/>
      <c r="M63" s="526"/>
      <c r="N63" s="526"/>
      <c r="O63" s="526"/>
      <c r="P63" s="526"/>
      <c r="Q63" s="526"/>
      <c r="R63" s="526"/>
      <c r="S63" s="526"/>
      <c r="T63" s="526"/>
      <c r="U63" s="526" t="s">
        <v>18</v>
      </c>
      <c r="V63" s="526"/>
      <c r="W63" s="526"/>
      <c r="X63" s="526"/>
      <c r="Y63" s="526"/>
      <c r="Z63" s="526"/>
      <c r="AA63" s="526" t="s">
        <v>18</v>
      </c>
      <c r="AB63" s="526"/>
    </row>
    <row r="64" spans="1:28">
      <c r="A64" s="526">
        <v>61</v>
      </c>
      <c r="B64" s="750" t="s">
        <v>444</v>
      </c>
      <c r="C64" s="751"/>
      <c r="D64" s="526" t="s">
        <v>445</v>
      </c>
      <c r="E64" s="526">
        <v>691956566</v>
      </c>
      <c r="F64" s="526" t="s">
        <v>18</v>
      </c>
      <c r="G64" s="526"/>
      <c r="H64" s="526"/>
      <c r="I64" s="526" t="s">
        <v>18</v>
      </c>
      <c r="J64" s="526"/>
      <c r="K64" s="526">
        <v>150</v>
      </c>
      <c r="L64" s="526" t="s">
        <v>18</v>
      </c>
      <c r="M64" s="526" t="s">
        <v>18</v>
      </c>
      <c r="N64" s="526"/>
      <c r="O64" s="526"/>
      <c r="P64" s="526">
        <v>22</v>
      </c>
      <c r="Q64" s="526">
        <v>2007</v>
      </c>
      <c r="R64" s="526" t="s">
        <v>18</v>
      </c>
      <c r="S64" s="526"/>
      <c r="T64" s="526"/>
      <c r="U64" s="526" t="s">
        <v>18</v>
      </c>
      <c r="V64" s="526"/>
      <c r="W64" s="526"/>
      <c r="X64" s="526"/>
      <c r="Y64" s="526" t="s">
        <v>18</v>
      </c>
      <c r="Z64" s="526"/>
      <c r="AA64" s="526"/>
      <c r="AB64" s="526"/>
    </row>
    <row r="65" spans="1:28">
      <c r="A65" s="526">
        <v>62</v>
      </c>
      <c r="B65" s="746" t="s">
        <v>446</v>
      </c>
      <c r="C65" s="746"/>
      <c r="D65" s="526" t="s">
        <v>447</v>
      </c>
      <c r="E65" s="526">
        <v>606538964</v>
      </c>
      <c r="F65" s="526" t="s">
        <v>18</v>
      </c>
      <c r="G65" s="526"/>
      <c r="H65" s="526"/>
      <c r="I65" s="526" t="s">
        <v>18</v>
      </c>
      <c r="J65" s="526"/>
      <c r="K65" s="526">
        <v>150</v>
      </c>
      <c r="L65" s="526" t="s">
        <v>18</v>
      </c>
      <c r="M65" s="526" t="s">
        <v>18</v>
      </c>
      <c r="N65" s="526"/>
      <c r="O65" s="526"/>
      <c r="P65" s="526">
        <v>17</v>
      </c>
      <c r="Q65" s="526">
        <v>2014</v>
      </c>
      <c r="R65" s="526" t="s">
        <v>18</v>
      </c>
      <c r="S65" s="526"/>
      <c r="T65" s="526"/>
      <c r="U65" s="526" t="s">
        <v>18</v>
      </c>
      <c r="V65" s="526"/>
      <c r="W65" s="526"/>
      <c r="X65" s="526"/>
      <c r="Y65" s="526" t="s">
        <v>18</v>
      </c>
      <c r="Z65" s="526"/>
      <c r="AA65" s="526"/>
      <c r="AB65" s="526"/>
    </row>
    <row r="66" spans="1:28">
      <c r="A66" s="526">
        <v>63</v>
      </c>
      <c r="B66" s="746" t="s">
        <v>448</v>
      </c>
      <c r="C66" s="746"/>
      <c r="D66" s="526" t="s">
        <v>449</v>
      </c>
      <c r="E66" s="526">
        <v>512188091</v>
      </c>
      <c r="F66" s="526"/>
      <c r="G66" s="526"/>
      <c r="H66" s="526"/>
      <c r="I66" s="526" t="s">
        <v>18</v>
      </c>
      <c r="J66" s="526"/>
      <c r="K66" s="526">
        <v>100</v>
      </c>
      <c r="L66" s="526" t="s">
        <v>18</v>
      </c>
      <c r="M66" s="526" t="s">
        <v>18</v>
      </c>
      <c r="N66" s="526"/>
      <c r="O66" s="526"/>
      <c r="P66" s="526">
        <v>1.1000000000000001</v>
      </c>
      <c r="Q66" s="526">
        <v>1995</v>
      </c>
      <c r="R66" s="526" t="s">
        <v>18</v>
      </c>
      <c r="S66" s="526"/>
      <c r="T66" s="526"/>
      <c r="U66" s="526"/>
      <c r="V66" s="526"/>
      <c r="W66" s="526"/>
      <c r="X66" s="526" t="s">
        <v>340</v>
      </c>
      <c r="Y66" s="526"/>
      <c r="Z66" s="526" t="s">
        <v>18</v>
      </c>
      <c r="AA66" s="526"/>
      <c r="AB66" s="526"/>
    </row>
    <row r="67" spans="1:28">
      <c r="A67" s="526">
        <v>64</v>
      </c>
      <c r="B67" s="746" t="s">
        <v>450</v>
      </c>
      <c r="C67" s="746"/>
      <c r="D67" s="526" t="s">
        <v>451</v>
      </c>
      <c r="E67" s="526">
        <v>693131773</v>
      </c>
      <c r="F67" s="526" t="s">
        <v>18</v>
      </c>
      <c r="G67" s="526"/>
      <c r="H67" s="526"/>
      <c r="I67" s="526" t="s">
        <v>18</v>
      </c>
      <c r="J67" s="526"/>
      <c r="K67" s="526">
        <v>110</v>
      </c>
      <c r="L67" s="526"/>
      <c r="M67" s="526"/>
      <c r="N67" s="526"/>
      <c r="O67" s="526" t="s">
        <v>194</v>
      </c>
      <c r="P67" s="526">
        <v>19</v>
      </c>
      <c r="Q67" s="526">
        <v>1999</v>
      </c>
      <c r="R67" s="526" t="s">
        <v>18</v>
      </c>
      <c r="S67" s="526"/>
      <c r="T67" s="526"/>
      <c r="U67" s="526" t="s">
        <v>18</v>
      </c>
      <c r="V67" s="526"/>
      <c r="W67" s="526"/>
      <c r="X67" s="526"/>
      <c r="Y67" s="526"/>
      <c r="Z67" s="526"/>
      <c r="AA67" s="526" t="s">
        <v>18</v>
      </c>
      <c r="AB67" s="526"/>
    </row>
    <row r="68" spans="1:28">
      <c r="A68" s="526">
        <v>65</v>
      </c>
      <c r="B68" s="746" t="s">
        <v>452</v>
      </c>
      <c r="C68" s="746"/>
      <c r="D68" s="526" t="s">
        <v>453</v>
      </c>
      <c r="E68" s="526">
        <v>605200142</v>
      </c>
      <c r="F68" s="526" t="s">
        <v>18</v>
      </c>
      <c r="G68" s="526"/>
      <c r="H68" s="526"/>
      <c r="I68" s="526" t="s">
        <v>18</v>
      </c>
      <c r="J68" s="526"/>
      <c r="K68" s="526">
        <v>100</v>
      </c>
      <c r="L68" s="526" t="s">
        <v>18</v>
      </c>
      <c r="M68" s="526"/>
      <c r="N68" s="526"/>
      <c r="O68" s="526"/>
      <c r="P68" s="526">
        <v>23</v>
      </c>
      <c r="Q68" s="526">
        <v>2003</v>
      </c>
      <c r="R68" s="526"/>
      <c r="S68" s="526"/>
      <c r="T68" s="526" t="s">
        <v>194</v>
      </c>
      <c r="U68" s="526" t="s">
        <v>18</v>
      </c>
      <c r="V68" s="526"/>
      <c r="W68" s="526"/>
      <c r="X68" s="526"/>
      <c r="Y68" s="526" t="s">
        <v>18</v>
      </c>
      <c r="Z68" s="526"/>
      <c r="AA68" s="526"/>
      <c r="AB68" s="526"/>
    </row>
    <row r="69" spans="1:28">
      <c r="A69" s="526">
        <v>66</v>
      </c>
      <c r="B69" s="746" t="s">
        <v>454</v>
      </c>
      <c r="C69" s="746"/>
      <c r="D69" s="526" t="s">
        <v>455</v>
      </c>
      <c r="E69" s="526">
        <v>695472039</v>
      </c>
      <c r="F69" s="526" t="s">
        <v>18</v>
      </c>
      <c r="G69" s="526"/>
      <c r="H69" s="526"/>
      <c r="I69" s="526" t="s">
        <v>18</v>
      </c>
      <c r="J69" s="526"/>
      <c r="K69" s="526">
        <v>130</v>
      </c>
      <c r="L69" s="526" t="s">
        <v>18</v>
      </c>
      <c r="M69" s="526" t="s">
        <v>18</v>
      </c>
      <c r="N69" s="526"/>
      <c r="O69" s="526"/>
      <c r="P69" s="526">
        <v>15</v>
      </c>
      <c r="Q69" s="526">
        <v>1998</v>
      </c>
      <c r="R69" s="526" t="s">
        <v>18</v>
      </c>
      <c r="S69" s="526"/>
      <c r="T69" s="526"/>
      <c r="U69" s="526"/>
      <c r="V69" s="526"/>
      <c r="W69" s="526"/>
      <c r="X69" s="526" t="s">
        <v>340</v>
      </c>
      <c r="Y69" s="526"/>
      <c r="Z69" s="526" t="s">
        <v>18</v>
      </c>
      <c r="AA69" s="526"/>
      <c r="AB69" s="526"/>
    </row>
    <row r="70" spans="1:28">
      <c r="A70" s="526">
        <v>67</v>
      </c>
      <c r="B70" s="746" t="s">
        <v>456</v>
      </c>
      <c r="C70" s="746"/>
      <c r="D70" s="526" t="s">
        <v>457</v>
      </c>
      <c r="E70" s="526">
        <v>692804972</v>
      </c>
      <c r="F70" s="526" t="s">
        <v>18</v>
      </c>
      <c r="G70" s="526"/>
      <c r="H70" s="526"/>
      <c r="I70" s="526" t="s">
        <v>18</v>
      </c>
      <c r="J70" s="526"/>
      <c r="K70" s="526">
        <v>130</v>
      </c>
      <c r="L70" s="526" t="s">
        <v>18</v>
      </c>
      <c r="M70" s="526" t="s">
        <v>18</v>
      </c>
      <c r="N70" s="526"/>
      <c r="O70" s="526"/>
      <c r="P70" s="526">
        <v>24</v>
      </c>
      <c r="Q70" s="526">
        <v>2008</v>
      </c>
      <c r="R70" s="526" t="s">
        <v>18</v>
      </c>
      <c r="S70" s="526"/>
      <c r="T70" s="526" t="s">
        <v>327</v>
      </c>
      <c r="U70" s="526" t="s">
        <v>18</v>
      </c>
      <c r="V70" s="526"/>
      <c r="W70" s="526"/>
      <c r="X70" s="526"/>
      <c r="Y70" s="526" t="s">
        <v>18</v>
      </c>
      <c r="Z70" s="526"/>
      <c r="AA70" s="526"/>
      <c r="AB70" s="526"/>
    </row>
    <row r="71" spans="1:28">
      <c r="A71" s="526">
        <v>68</v>
      </c>
      <c r="B71" s="746" t="s">
        <v>19</v>
      </c>
      <c r="C71" s="746"/>
      <c r="D71" s="526" t="s">
        <v>458</v>
      </c>
      <c r="E71" s="526">
        <v>600361192</v>
      </c>
      <c r="F71" s="526" t="s">
        <v>18</v>
      </c>
      <c r="G71" s="526"/>
      <c r="H71" s="526"/>
      <c r="I71" s="526" t="s">
        <v>18</v>
      </c>
      <c r="J71" s="526"/>
      <c r="K71" s="526">
        <v>100</v>
      </c>
      <c r="L71" s="526" t="s">
        <v>18</v>
      </c>
      <c r="M71" s="526"/>
      <c r="N71" s="526"/>
      <c r="O71" s="526"/>
      <c r="P71" s="526">
        <v>15</v>
      </c>
      <c r="Q71" s="526">
        <v>2014</v>
      </c>
      <c r="R71" s="526"/>
      <c r="S71" s="526"/>
      <c r="T71" s="526" t="s">
        <v>194</v>
      </c>
      <c r="U71" s="526" t="s">
        <v>18</v>
      </c>
      <c r="V71" s="526"/>
      <c r="W71" s="526"/>
      <c r="X71" s="526"/>
      <c r="Y71" s="526" t="s">
        <v>18</v>
      </c>
      <c r="Z71" s="526"/>
      <c r="AA71" s="526"/>
      <c r="AB71" s="526"/>
    </row>
    <row r="72" spans="1:28">
      <c r="A72" s="526">
        <v>69</v>
      </c>
      <c r="B72" s="746" t="s">
        <v>459</v>
      </c>
      <c r="C72" s="746"/>
      <c r="D72" s="526" t="s">
        <v>460</v>
      </c>
      <c r="E72" s="526">
        <v>725185792</v>
      </c>
      <c r="F72" s="526" t="s">
        <v>18</v>
      </c>
      <c r="G72" s="526"/>
      <c r="H72" s="526"/>
      <c r="I72" s="526" t="s">
        <v>18</v>
      </c>
      <c r="J72" s="526"/>
      <c r="K72" s="526">
        <v>300</v>
      </c>
      <c r="L72" s="526" t="s">
        <v>18</v>
      </c>
      <c r="M72" s="526"/>
      <c r="N72" s="526"/>
      <c r="O72" s="526"/>
      <c r="P72" s="526">
        <v>1.7</v>
      </c>
      <c r="Q72" s="526">
        <v>2010</v>
      </c>
      <c r="R72" s="526" t="s">
        <v>18</v>
      </c>
      <c r="S72" s="526" t="s">
        <v>18</v>
      </c>
      <c r="T72" s="526"/>
      <c r="U72" s="526"/>
      <c r="V72" s="526" t="s">
        <v>18</v>
      </c>
      <c r="W72" s="526"/>
      <c r="X72" s="526"/>
      <c r="Y72" s="526" t="s">
        <v>18</v>
      </c>
      <c r="Z72" s="526"/>
      <c r="AA72" s="526"/>
      <c r="AB72" s="526"/>
    </row>
    <row r="73" spans="1:28">
      <c r="A73" s="526">
        <v>70</v>
      </c>
      <c r="B73" s="746" t="s">
        <v>461</v>
      </c>
      <c r="C73" s="746"/>
      <c r="D73" s="526" t="s">
        <v>462</v>
      </c>
      <c r="E73" s="526">
        <v>662497215</v>
      </c>
      <c r="F73" s="526" t="s">
        <v>18</v>
      </c>
      <c r="G73" s="526"/>
      <c r="H73" s="526"/>
      <c r="I73" s="526" t="s">
        <v>18</v>
      </c>
      <c r="J73" s="526"/>
      <c r="K73" s="526">
        <v>100</v>
      </c>
      <c r="L73" s="526" t="s">
        <v>18</v>
      </c>
      <c r="M73" s="526" t="s">
        <v>18</v>
      </c>
      <c r="N73" s="526"/>
      <c r="O73" s="526"/>
      <c r="P73" s="526">
        <v>2.5</v>
      </c>
      <c r="Q73" s="526">
        <v>2008</v>
      </c>
      <c r="R73" s="526"/>
      <c r="S73" s="526"/>
      <c r="T73" s="526" t="s">
        <v>327</v>
      </c>
      <c r="U73" s="526" t="s">
        <v>18</v>
      </c>
      <c r="V73" s="526"/>
      <c r="W73" s="526"/>
      <c r="X73" s="526"/>
      <c r="Y73" s="526"/>
      <c r="Z73" s="526"/>
      <c r="AA73" s="526" t="s">
        <v>18</v>
      </c>
      <c r="AB73" s="526"/>
    </row>
    <row r="74" spans="1:28" ht="13.2" customHeight="1">
      <c r="A74" s="526">
        <v>71</v>
      </c>
      <c r="B74" s="750" t="s">
        <v>463</v>
      </c>
      <c r="C74" s="751"/>
      <c r="D74" s="526" t="s">
        <v>464</v>
      </c>
      <c r="E74" s="526">
        <v>504029840</v>
      </c>
      <c r="F74" s="526" t="s">
        <v>18</v>
      </c>
      <c r="G74" s="526"/>
      <c r="H74" s="526"/>
      <c r="I74" s="526" t="s">
        <v>18</v>
      </c>
      <c r="J74" s="526"/>
      <c r="K74" s="526">
        <v>200</v>
      </c>
      <c r="L74" s="526" t="s">
        <v>18</v>
      </c>
      <c r="M74" s="526" t="s">
        <v>18</v>
      </c>
      <c r="N74" s="526"/>
      <c r="O74" s="526"/>
      <c r="P74" s="526">
        <v>28</v>
      </c>
      <c r="Q74" s="526">
        <v>2010</v>
      </c>
      <c r="R74" s="526" t="s">
        <v>18</v>
      </c>
      <c r="S74" s="526"/>
      <c r="T74" s="526"/>
      <c r="U74" s="526"/>
      <c r="V74" s="526"/>
      <c r="W74" s="526"/>
      <c r="X74" s="526" t="s">
        <v>340</v>
      </c>
      <c r="Y74" s="526"/>
      <c r="Z74" s="526" t="s">
        <v>18</v>
      </c>
      <c r="AA74" s="526"/>
      <c r="AB74" s="526"/>
    </row>
    <row r="75" spans="1:28">
      <c r="A75" s="526">
        <v>72</v>
      </c>
      <c r="B75" s="750" t="s">
        <v>465</v>
      </c>
      <c r="C75" s="751"/>
      <c r="D75" s="526" t="s">
        <v>466</v>
      </c>
      <c r="E75" s="526">
        <v>605103375</v>
      </c>
      <c r="F75" s="526" t="s">
        <v>18</v>
      </c>
      <c r="G75" s="526"/>
      <c r="H75" s="526"/>
      <c r="I75" s="526" t="s">
        <v>18</v>
      </c>
      <c r="J75" s="526"/>
      <c r="K75" s="526">
        <v>270</v>
      </c>
      <c r="L75" s="526" t="s">
        <v>18</v>
      </c>
      <c r="M75" s="526"/>
      <c r="N75" s="526"/>
      <c r="O75" s="526"/>
      <c r="P75" s="526">
        <v>25</v>
      </c>
      <c r="Q75" s="526">
        <v>2011</v>
      </c>
      <c r="R75" s="526" t="s">
        <v>18</v>
      </c>
      <c r="S75" s="526"/>
      <c r="T75" s="526"/>
      <c r="U75" s="526" t="s">
        <v>18</v>
      </c>
      <c r="V75" s="526"/>
      <c r="W75" s="526"/>
      <c r="X75" s="526"/>
      <c r="Y75" s="526"/>
      <c r="Z75" s="526" t="s">
        <v>18</v>
      </c>
      <c r="AA75" s="526"/>
      <c r="AB75" s="526"/>
    </row>
    <row r="76" spans="1:28">
      <c r="A76" s="526">
        <v>73</v>
      </c>
      <c r="B76" s="750" t="s">
        <v>467</v>
      </c>
      <c r="C76" s="751"/>
      <c r="D76" s="526" t="s">
        <v>468</v>
      </c>
      <c r="E76" s="526">
        <v>514008807</v>
      </c>
      <c r="F76" s="526" t="s">
        <v>18</v>
      </c>
      <c r="G76" s="526"/>
      <c r="H76" s="526"/>
      <c r="I76" s="526" t="s">
        <v>18</v>
      </c>
      <c r="J76" s="526"/>
      <c r="K76" s="526">
        <v>96</v>
      </c>
      <c r="L76" s="526" t="s">
        <v>18</v>
      </c>
      <c r="M76" s="526" t="s">
        <v>18</v>
      </c>
      <c r="N76" s="526"/>
      <c r="O76" s="526"/>
      <c r="P76" s="526">
        <v>1.2</v>
      </c>
      <c r="Q76" s="526">
        <v>1990</v>
      </c>
      <c r="R76" s="526"/>
      <c r="S76" s="526" t="s">
        <v>18</v>
      </c>
      <c r="T76" s="526"/>
      <c r="U76" s="526"/>
      <c r="V76" s="526"/>
      <c r="W76" s="526"/>
      <c r="X76" s="526" t="s">
        <v>340</v>
      </c>
      <c r="Y76" s="526" t="s">
        <v>18</v>
      </c>
      <c r="Z76" s="526"/>
      <c r="AA76" s="526"/>
      <c r="AB76" s="526"/>
    </row>
    <row r="77" spans="1:28">
      <c r="A77" s="526">
        <v>74</v>
      </c>
      <c r="B77" s="750" t="s">
        <v>469</v>
      </c>
      <c r="C77" s="751"/>
      <c r="D77" s="526" t="s">
        <v>470</v>
      </c>
      <c r="E77" s="526">
        <v>604607155</v>
      </c>
      <c r="F77" s="526" t="s">
        <v>18</v>
      </c>
      <c r="G77" s="526"/>
      <c r="H77" s="526"/>
      <c r="I77" s="526" t="s">
        <v>18</v>
      </c>
      <c r="J77" s="526"/>
      <c r="K77" s="526">
        <v>205</v>
      </c>
      <c r="L77" s="526" t="s">
        <v>18</v>
      </c>
      <c r="M77" s="526"/>
      <c r="N77" s="526"/>
      <c r="O77" s="526"/>
      <c r="P77" s="526">
        <v>15</v>
      </c>
      <c r="Q77" s="526">
        <v>2008</v>
      </c>
      <c r="R77" s="526" t="s">
        <v>18</v>
      </c>
      <c r="S77" s="526"/>
      <c r="T77" s="526"/>
      <c r="U77" s="526" t="s">
        <v>18</v>
      </c>
      <c r="V77" s="526"/>
      <c r="W77" s="526"/>
      <c r="X77" s="526"/>
      <c r="Y77" s="526"/>
      <c r="Z77" s="526" t="s">
        <v>18</v>
      </c>
      <c r="AA77" s="526"/>
      <c r="AB77" s="526"/>
    </row>
    <row r="78" spans="1:28">
      <c r="A78" s="526">
        <v>75</v>
      </c>
      <c r="B78" s="750" t="s">
        <v>471</v>
      </c>
      <c r="C78" s="751"/>
      <c r="D78" s="526" t="s">
        <v>472</v>
      </c>
      <c r="E78" s="526" t="s">
        <v>19</v>
      </c>
      <c r="F78" s="526" t="s">
        <v>18</v>
      </c>
      <c r="G78" s="526"/>
      <c r="H78" s="526"/>
      <c r="I78" s="526" t="s">
        <v>18</v>
      </c>
      <c r="J78" s="526"/>
      <c r="K78" s="526">
        <v>145</v>
      </c>
      <c r="L78" s="526" t="s">
        <v>18</v>
      </c>
      <c r="M78" s="526" t="s">
        <v>18</v>
      </c>
      <c r="N78" s="526"/>
      <c r="O78" s="526"/>
      <c r="P78" s="526">
        <v>21</v>
      </c>
      <c r="Q78" s="526">
        <v>1997</v>
      </c>
      <c r="R78" s="526" t="s">
        <v>18</v>
      </c>
      <c r="S78" s="526"/>
      <c r="T78" s="526"/>
      <c r="U78" s="526"/>
      <c r="V78" s="526"/>
      <c r="W78" s="526"/>
      <c r="X78" s="526" t="s">
        <v>340</v>
      </c>
      <c r="Y78" s="526" t="s">
        <v>18</v>
      </c>
      <c r="Z78" s="526"/>
      <c r="AA78" s="526"/>
      <c r="AB78" s="526"/>
    </row>
    <row r="79" spans="1:28">
      <c r="A79" s="526">
        <v>76</v>
      </c>
      <c r="B79" s="750" t="s">
        <v>473</v>
      </c>
      <c r="C79" s="751"/>
      <c r="D79" s="526" t="s">
        <v>474</v>
      </c>
      <c r="E79" s="526">
        <v>486132937</v>
      </c>
      <c r="F79" s="526" t="s">
        <v>18</v>
      </c>
      <c r="G79" s="526"/>
      <c r="H79" s="526"/>
      <c r="I79" s="526" t="s">
        <v>18</v>
      </c>
      <c r="J79" s="526"/>
      <c r="K79" s="526">
        <v>150</v>
      </c>
      <c r="L79" s="526" t="s">
        <v>18</v>
      </c>
      <c r="M79" s="526"/>
      <c r="N79" s="526"/>
      <c r="O79" s="526"/>
      <c r="P79" s="526">
        <v>1.2</v>
      </c>
      <c r="Q79" s="526">
        <v>1979</v>
      </c>
      <c r="R79" s="526"/>
      <c r="S79" s="526"/>
      <c r="T79" s="526" t="s">
        <v>194</v>
      </c>
      <c r="U79" s="526" t="s">
        <v>18</v>
      </c>
      <c r="V79" s="526"/>
      <c r="W79" s="526"/>
      <c r="X79" s="526"/>
      <c r="Y79" s="526" t="s">
        <v>18</v>
      </c>
      <c r="Z79" s="526"/>
      <c r="AA79" s="526"/>
      <c r="AB79" s="526"/>
    </row>
    <row r="80" spans="1:28">
      <c r="A80" s="526">
        <v>77</v>
      </c>
      <c r="B80" s="750" t="s">
        <v>475</v>
      </c>
      <c r="C80" s="751"/>
      <c r="D80" s="526" t="s">
        <v>476</v>
      </c>
      <c r="E80" s="526">
        <v>486132369</v>
      </c>
      <c r="F80" s="526" t="s">
        <v>18</v>
      </c>
      <c r="G80" s="526"/>
      <c r="H80" s="526"/>
      <c r="I80" s="526" t="s">
        <v>18</v>
      </c>
      <c r="J80" s="526"/>
      <c r="K80" s="526">
        <v>70</v>
      </c>
      <c r="L80" s="526" t="s">
        <v>19</v>
      </c>
      <c r="M80" s="526"/>
      <c r="N80" s="526"/>
      <c r="O80" s="526"/>
      <c r="P80" s="526" t="s">
        <v>19</v>
      </c>
      <c r="Q80" s="526" t="s">
        <v>19</v>
      </c>
      <c r="R80" s="526"/>
      <c r="S80" s="526"/>
      <c r="T80" s="526"/>
      <c r="U80" s="526" t="s">
        <v>18</v>
      </c>
      <c r="V80" s="526"/>
      <c r="W80" s="526"/>
      <c r="X80" s="526"/>
      <c r="Y80" s="526" t="s">
        <v>18</v>
      </c>
      <c r="Z80" s="526"/>
      <c r="AA80" s="526"/>
      <c r="AB80" s="526"/>
    </row>
    <row r="81" spans="1:28">
      <c r="A81" s="526">
        <v>78</v>
      </c>
      <c r="B81" s="750" t="s">
        <v>477</v>
      </c>
      <c r="C81" s="751"/>
      <c r="D81" s="526" t="s">
        <v>478</v>
      </c>
      <c r="E81" s="526">
        <v>486134404</v>
      </c>
      <c r="F81" s="526" t="s">
        <v>18</v>
      </c>
      <c r="G81" s="526"/>
      <c r="H81" s="526"/>
      <c r="I81" s="526" t="s">
        <v>18</v>
      </c>
      <c r="J81" s="526"/>
      <c r="K81" s="526">
        <v>99</v>
      </c>
      <c r="L81" s="526" t="s">
        <v>18</v>
      </c>
      <c r="M81" s="526" t="s">
        <v>18</v>
      </c>
      <c r="N81" s="526"/>
      <c r="O81" s="526"/>
      <c r="P81" s="526">
        <v>1.5</v>
      </c>
      <c r="Q81" s="526">
        <v>1979</v>
      </c>
      <c r="R81" s="526"/>
      <c r="S81" s="526"/>
      <c r="T81" s="526" t="s">
        <v>194</v>
      </c>
      <c r="U81" s="526" t="s">
        <v>18</v>
      </c>
      <c r="V81" s="526"/>
      <c r="W81" s="526"/>
      <c r="X81" s="526"/>
      <c r="Y81" s="526" t="s">
        <v>18</v>
      </c>
      <c r="Z81" s="526"/>
      <c r="AA81" s="526"/>
      <c r="AB81" s="526"/>
    </row>
    <row r="82" spans="1:28">
      <c r="A82" s="526">
        <v>79</v>
      </c>
      <c r="B82" s="750" t="s">
        <v>479</v>
      </c>
      <c r="C82" s="751"/>
      <c r="D82" s="526" t="s">
        <v>480</v>
      </c>
      <c r="E82" s="526">
        <v>728877731</v>
      </c>
      <c r="F82" s="526" t="s">
        <v>18</v>
      </c>
      <c r="G82" s="526"/>
      <c r="H82" s="526"/>
      <c r="I82" s="526" t="s">
        <v>18</v>
      </c>
      <c r="J82" s="526"/>
      <c r="K82" s="526">
        <v>120</v>
      </c>
      <c r="L82" s="526" t="s">
        <v>18</v>
      </c>
      <c r="M82" s="526" t="s">
        <v>18</v>
      </c>
      <c r="N82" s="526"/>
      <c r="O82" s="526"/>
      <c r="P82" s="526">
        <v>16</v>
      </c>
      <c r="Q82" s="526">
        <v>2005</v>
      </c>
      <c r="R82" s="526"/>
      <c r="S82" s="526" t="s">
        <v>18</v>
      </c>
      <c r="T82" s="526"/>
      <c r="U82" s="526" t="s">
        <v>18</v>
      </c>
      <c r="V82" s="526"/>
      <c r="W82" s="526"/>
      <c r="X82" s="526"/>
      <c r="Y82" s="526" t="s">
        <v>18</v>
      </c>
      <c r="Z82" s="526"/>
      <c r="AA82" s="526"/>
      <c r="AB82" s="526"/>
    </row>
    <row r="83" spans="1:28">
      <c r="A83" s="526">
        <v>80</v>
      </c>
      <c r="B83" s="750" t="s">
        <v>481</v>
      </c>
      <c r="C83" s="751"/>
      <c r="D83" s="526" t="s">
        <v>482</v>
      </c>
      <c r="E83" s="526">
        <v>486132182</v>
      </c>
      <c r="F83" s="526"/>
      <c r="G83" s="526" t="s">
        <v>18</v>
      </c>
      <c r="H83" s="526"/>
      <c r="I83" s="526" t="s">
        <v>18</v>
      </c>
      <c r="J83" s="526"/>
      <c r="K83" s="526">
        <v>200</v>
      </c>
      <c r="L83" s="526" t="s">
        <v>18</v>
      </c>
      <c r="M83" s="526" t="s">
        <v>18</v>
      </c>
      <c r="N83" s="526"/>
      <c r="O83" s="526"/>
      <c r="P83" s="526">
        <v>24</v>
      </c>
      <c r="Q83" s="526">
        <v>1980</v>
      </c>
      <c r="R83" s="526"/>
      <c r="S83" s="526"/>
      <c r="T83" s="526" t="s">
        <v>194</v>
      </c>
      <c r="U83" s="526" t="s">
        <v>18</v>
      </c>
      <c r="V83" s="526"/>
      <c r="W83" s="526"/>
      <c r="X83" s="526"/>
      <c r="Y83" s="526" t="s">
        <v>18</v>
      </c>
      <c r="Z83" s="526"/>
      <c r="AA83" s="526"/>
      <c r="AB83" s="526"/>
    </row>
    <row r="84" spans="1:28">
      <c r="A84" s="526">
        <v>81</v>
      </c>
      <c r="B84" s="750" t="s">
        <v>483</v>
      </c>
      <c r="C84" s="751"/>
      <c r="D84" s="526" t="s">
        <v>484</v>
      </c>
      <c r="E84" s="526">
        <v>665515153</v>
      </c>
      <c r="F84" s="526" t="s">
        <v>18</v>
      </c>
      <c r="G84" s="526"/>
      <c r="H84" s="526"/>
      <c r="I84" s="526" t="s">
        <v>18</v>
      </c>
      <c r="J84" s="526"/>
      <c r="K84" s="526">
        <v>130</v>
      </c>
      <c r="L84" s="526" t="s">
        <v>18</v>
      </c>
      <c r="M84" s="526"/>
      <c r="N84" s="526"/>
      <c r="O84" s="526"/>
      <c r="P84" s="526">
        <v>25</v>
      </c>
      <c r="Q84" s="526">
        <v>1997</v>
      </c>
      <c r="R84" s="526" t="s">
        <v>18</v>
      </c>
      <c r="S84" s="526"/>
      <c r="T84" s="526"/>
      <c r="U84" s="526" t="s">
        <v>18</v>
      </c>
      <c r="V84" s="526"/>
      <c r="W84" s="526"/>
      <c r="X84" s="526"/>
      <c r="Y84" s="526" t="s">
        <v>18</v>
      </c>
      <c r="Z84" s="526"/>
      <c r="AA84" s="526"/>
      <c r="AB84" s="526"/>
    </row>
    <row r="85" spans="1:28">
      <c r="A85" s="526">
        <v>82</v>
      </c>
      <c r="B85" s="750" t="s">
        <v>485</v>
      </c>
      <c r="C85" s="751"/>
      <c r="D85" s="526" t="s">
        <v>486</v>
      </c>
      <c r="E85" s="526">
        <v>692491781</v>
      </c>
      <c r="F85" s="526" t="s">
        <v>18</v>
      </c>
      <c r="G85" s="526"/>
      <c r="H85" s="526"/>
      <c r="I85" s="526" t="s">
        <v>18</v>
      </c>
      <c r="J85" s="526"/>
      <c r="K85" s="526">
        <v>100</v>
      </c>
      <c r="L85" s="526" t="s">
        <v>18</v>
      </c>
      <c r="M85" s="526"/>
      <c r="N85" s="526"/>
      <c r="O85" s="526"/>
      <c r="P85" s="526">
        <v>1.2</v>
      </c>
      <c r="Q85" s="526">
        <v>2001</v>
      </c>
      <c r="R85" s="526" t="s">
        <v>18</v>
      </c>
      <c r="S85" s="526"/>
      <c r="T85" s="526"/>
      <c r="U85" s="526"/>
      <c r="V85" s="526"/>
      <c r="W85" s="526"/>
      <c r="X85" s="526" t="s">
        <v>340</v>
      </c>
      <c r="Y85" s="526" t="s">
        <v>18</v>
      </c>
      <c r="Z85" s="526"/>
      <c r="AA85" s="526"/>
      <c r="AB85" s="526"/>
    </row>
    <row r="86" spans="1:28">
      <c r="A86" s="526">
        <v>83</v>
      </c>
      <c r="B86" s="750" t="s">
        <v>487</v>
      </c>
      <c r="C86" s="751"/>
      <c r="D86" s="526" t="s">
        <v>488</v>
      </c>
      <c r="E86" s="526">
        <v>605690738</v>
      </c>
      <c r="F86" s="526" t="s">
        <v>18</v>
      </c>
      <c r="G86" s="526"/>
      <c r="H86" s="526"/>
      <c r="I86" s="526" t="s">
        <v>18</v>
      </c>
      <c r="J86" s="526"/>
      <c r="K86" s="526">
        <v>206</v>
      </c>
      <c r="L86" s="526" t="s">
        <v>18</v>
      </c>
      <c r="M86" s="526" t="s">
        <v>18</v>
      </c>
      <c r="N86" s="526"/>
      <c r="O86" s="526"/>
      <c r="P86" s="526" t="s">
        <v>19</v>
      </c>
      <c r="Q86" s="526">
        <v>1999</v>
      </c>
      <c r="R86" s="526"/>
      <c r="S86" s="526"/>
      <c r="T86" s="526" t="s">
        <v>327</v>
      </c>
      <c r="U86" s="526"/>
      <c r="V86" s="526"/>
      <c r="W86" s="526"/>
      <c r="X86" s="526" t="s">
        <v>340</v>
      </c>
      <c r="Y86" s="526" t="s">
        <v>18</v>
      </c>
      <c r="Z86" s="526"/>
      <c r="AA86" s="526"/>
      <c r="AB86" s="526"/>
    </row>
    <row r="87" spans="1:28">
      <c r="A87" s="526">
        <v>84</v>
      </c>
      <c r="B87" s="750" t="s">
        <v>489</v>
      </c>
      <c r="C87" s="751"/>
      <c r="D87" s="526" t="s">
        <v>490</v>
      </c>
      <c r="E87" s="526">
        <v>503806797</v>
      </c>
      <c r="F87" s="526" t="s">
        <v>18</v>
      </c>
      <c r="G87" s="526"/>
      <c r="H87" s="526"/>
      <c r="I87" s="526" t="s">
        <v>18</v>
      </c>
      <c r="J87" s="526"/>
      <c r="K87" s="526">
        <v>110</v>
      </c>
      <c r="L87" s="526" t="s">
        <v>18</v>
      </c>
      <c r="M87" s="526" t="s">
        <v>18</v>
      </c>
      <c r="N87" s="526"/>
      <c r="O87" s="526"/>
      <c r="P87" s="526">
        <v>20</v>
      </c>
      <c r="Q87" s="526">
        <v>1989</v>
      </c>
      <c r="R87" s="526" t="s">
        <v>18</v>
      </c>
      <c r="S87" s="526" t="s">
        <v>18</v>
      </c>
      <c r="T87" s="526" t="s">
        <v>327</v>
      </c>
      <c r="U87" s="526" t="s">
        <v>18</v>
      </c>
      <c r="V87" s="526"/>
      <c r="W87" s="526"/>
      <c r="X87" s="526"/>
      <c r="Y87" s="526" t="s">
        <v>18</v>
      </c>
      <c r="Z87" s="526"/>
      <c r="AA87" s="526"/>
      <c r="AB87" s="526"/>
    </row>
    <row r="88" spans="1:28">
      <c r="A88" s="526">
        <v>85</v>
      </c>
      <c r="B88" s="750" t="s">
        <v>491</v>
      </c>
      <c r="C88" s="751"/>
      <c r="D88" s="526" t="s">
        <v>492</v>
      </c>
      <c r="E88" s="526">
        <v>698104152</v>
      </c>
      <c r="F88" s="526"/>
      <c r="G88" s="526" t="s">
        <v>18</v>
      </c>
      <c r="H88" s="526"/>
      <c r="I88" s="526" t="s">
        <v>18</v>
      </c>
      <c r="J88" s="526"/>
      <c r="K88" s="526">
        <v>170</v>
      </c>
      <c r="L88" s="526" t="s">
        <v>18</v>
      </c>
      <c r="M88" s="526" t="s">
        <v>18</v>
      </c>
      <c r="N88" s="526"/>
      <c r="O88" s="526"/>
      <c r="P88" s="526">
        <v>16</v>
      </c>
      <c r="Q88" s="526">
        <v>2002</v>
      </c>
      <c r="R88" s="526" t="s">
        <v>18</v>
      </c>
      <c r="S88" s="526"/>
      <c r="T88" s="526"/>
      <c r="U88" s="526"/>
      <c r="V88" s="526" t="s">
        <v>18</v>
      </c>
      <c r="W88" s="526"/>
      <c r="X88" s="526"/>
      <c r="Y88" s="526" t="s">
        <v>18</v>
      </c>
      <c r="Z88" s="526"/>
      <c r="AA88" s="526"/>
      <c r="AB88" s="526"/>
    </row>
    <row r="89" spans="1:28">
      <c r="A89" s="526">
        <v>86</v>
      </c>
      <c r="B89" s="750" t="s">
        <v>493</v>
      </c>
      <c r="C89" s="751"/>
      <c r="D89" s="526" t="s">
        <v>494</v>
      </c>
      <c r="E89" s="526">
        <v>486130420</v>
      </c>
      <c r="F89" s="526"/>
      <c r="G89" s="526" t="s">
        <v>18</v>
      </c>
      <c r="H89" s="526"/>
      <c r="I89" s="526" t="s">
        <v>18</v>
      </c>
      <c r="J89" s="526"/>
      <c r="K89" s="526">
        <v>117.6</v>
      </c>
      <c r="L89" s="526" t="s">
        <v>18</v>
      </c>
      <c r="M89" s="526" t="s">
        <v>18</v>
      </c>
      <c r="N89" s="526"/>
      <c r="O89" s="526"/>
      <c r="P89" s="526">
        <v>15</v>
      </c>
      <c r="Q89" s="526">
        <v>2006</v>
      </c>
      <c r="R89" s="526"/>
      <c r="S89" s="526" t="s">
        <v>18</v>
      </c>
      <c r="T89" s="526"/>
      <c r="U89" s="526"/>
      <c r="V89" s="526" t="s">
        <v>18</v>
      </c>
      <c r="W89" s="526"/>
      <c r="X89" s="526"/>
      <c r="Y89" s="526" t="s">
        <v>18</v>
      </c>
      <c r="Z89" s="526"/>
      <c r="AA89" s="526"/>
      <c r="AB89" s="526"/>
    </row>
    <row r="90" spans="1:28">
      <c r="A90" s="526">
        <v>87</v>
      </c>
      <c r="B90" s="750" t="s">
        <v>495</v>
      </c>
      <c r="C90" s="751"/>
      <c r="D90" s="526" t="s">
        <v>496</v>
      </c>
      <c r="E90" s="526">
        <v>511193109</v>
      </c>
      <c r="F90" s="526" t="s">
        <v>18</v>
      </c>
      <c r="G90" s="526"/>
      <c r="H90" s="526"/>
      <c r="I90" s="526" t="s">
        <v>18</v>
      </c>
      <c r="J90" s="526"/>
      <c r="K90" s="526">
        <v>120</v>
      </c>
      <c r="L90" s="526"/>
      <c r="M90" s="526"/>
      <c r="N90" s="526"/>
      <c r="O90" s="526"/>
      <c r="P90" s="526">
        <v>1.8</v>
      </c>
      <c r="Q90" s="526">
        <v>2003</v>
      </c>
      <c r="R90" s="526"/>
      <c r="S90" s="526"/>
      <c r="T90" s="526" t="s">
        <v>327</v>
      </c>
      <c r="U90" s="526"/>
      <c r="V90" s="526"/>
      <c r="W90" s="526"/>
      <c r="X90" s="526" t="s">
        <v>21</v>
      </c>
      <c r="Y90" s="526" t="s">
        <v>18</v>
      </c>
      <c r="Z90" s="526"/>
      <c r="AA90" s="526"/>
      <c r="AB90" s="526"/>
    </row>
    <row r="91" spans="1:28">
      <c r="A91" s="526">
        <v>88</v>
      </c>
      <c r="B91" s="750" t="s">
        <v>497</v>
      </c>
      <c r="C91" s="751"/>
      <c r="D91" s="526" t="s">
        <v>498</v>
      </c>
      <c r="E91" s="526">
        <v>534290220</v>
      </c>
      <c r="F91" s="526" t="s">
        <v>18</v>
      </c>
      <c r="G91" s="526"/>
      <c r="H91" s="526"/>
      <c r="I91" s="526" t="s">
        <v>18</v>
      </c>
      <c r="J91" s="526"/>
      <c r="K91" s="526">
        <v>200</v>
      </c>
      <c r="L91" s="526" t="s">
        <v>18</v>
      </c>
      <c r="M91" s="526" t="s">
        <v>18</v>
      </c>
      <c r="N91" s="526"/>
      <c r="O91" s="526"/>
      <c r="P91" s="526">
        <v>2</v>
      </c>
      <c r="Q91" s="526">
        <v>1994</v>
      </c>
      <c r="R91" s="526" t="s">
        <v>18</v>
      </c>
      <c r="S91" s="526" t="s">
        <v>18</v>
      </c>
      <c r="T91" s="526"/>
      <c r="U91" s="526"/>
      <c r="V91" s="526"/>
      <c r="W91" s="526"/>
      <c r="X91" s="526" t="s">
        <v>340</v>
      </c>
      <c r="Y91" s="526" t="s">
        <v>18</v>
      </c>
      <c r="Z91" s="526"/>
      <c r="AA91" s="526"/>
      <c r="AB91" s="526"/>
    </row>
    <row r="92" spans="1:28">
      <c r="A92" s="526">
        <v>89</v>
      </c>
      <c r="B92" s="750" t="s">
        <v>499</v>
      </c>
      <c r="C92" s="751"/>
      <c r="D92" s="526" t="s">
        <v>500</v>
      </c>
      <c r="E92" s="526">
        <v>601382318</v>
      </c>
      <c r="F92" s="526" t="s">
        <v>18</v>
      </c>
      <c r="G92" s="526"/>
      <c r="H92" s="526"/>
      <c r="I92" s="526" t="s">
        <v>18</v>
      </c>
      <c r="J92" s="526"/>
      <c r="K92" s="526">
        <v>140</v>
      </c>
      <c r="L92" s="526" t="s">
        <v>18</v>
      </c>
      <c r="M92" s="526"/>
      <c r="N92" s="526"/>
      <c r="O92" s="526"/>
      <c r="P92" s="526">
        <v>24</v>
      </c>
      <c r="Q92" s="526">
        <v>2003</v>
      </c>
      <c r="R92" s="526"/>
      <c r="S92" s="526"/>
      <c r="T92" s="526" t="s">
        <v>327</v>
      </c>
      <c r="U92" s="526" t="s">
        <v>18</v>
      </c>
      <c r="V92" s="526"/>
      <c r="W92" s="526"/>
      <c r="X92" s="526"/>
      <c r="Y92" s="526" t="s">
        <v>18</v>
      </c>
      <c r="Z92" s="526"/>
      <c r="AA92" s="526"/>
      <c r="AB92" s="526"/>
    </row>
    <row r="93" spans="1:28">
      <c r="A93" s="526">
        <v>90</v>
      </c>
      <c r="B93" s="750" t="s">
        <v>501</v>
      </c>
      <c r="C93" s="751"/>
      <c r="D93" s="526" t="s">
        <v>502</v>
      </c>
      <c r="E93" s="526">
        <v>783016563</v>
      </c>
      <c r="F93" s="526" t="s">
        <v>18</v>
      </c>
      <c r="G93" s="526"/>
      <c r="H93" s="526"/>
      <c r="I93" s="526" t="s">
        <v>18</v>
      </c>
      <c r="J93" s="526"/>
      <c r="K93" s="526">
        <v>60</v>
      </c>
      <c r="L93" s="526" t="s">
        <v>18</v>
      </c>
      <c r="M93" s="526" t="s">
        <v>18</v>
      </c>
      <c r="N93" s="526"/>
      <c r="O93" s="526"/>
      <c r="P93" s="526">
        <v>1.5</v>
      </c>
      <c r="Q93" s="526">
        <v>2004</v>
      </c>
      <c r="R93" s="526"/>
      <c r="S93" s="526" t="s">
        <v>18</v>
      </c>
      <c r="T93" s="526"/>
      <c r="U93" s="526" t="s">
        <v>18</v>
      </c>
      <c r="V93" s="526"/>
      <c r="W93" s="526"/>
      <c r="X93" s="526"/>
      <c r="Y93" s="526" t="s">
        <v>18</v>
      </c>
      <c r="Z93" s="526"/>
      <c r="AA93" s="526"/>
      <c r="AB93" s="526"/>
    </row>
    <row r="94" spans="1:28">
      <c r="A94" s="526">
        <v>91</v>
      </c>
      <c r="B94" s="750" t="s">
        <v>503</v>
      </c>
      <c r="C94" s="751"/>
      <c r="D94" s="526" t="s">
        <v>504</v>
      </c>
      <c r="E94" s="526">
        <v>601810277</v>
      </c>
      <c r="F94" s="526" t="s">
        <v>18</v>
      </c>
      <c r="G94" s="526"/>
      <c r="H94" s="526"/>
      <c r="I94" s="526" t="s">
        <v>18</v>
      </c>
      <c r="J94" s="526"/>
      <c r="K94" s="526">
        <v>130</v>
      </c>
      <c r="L94" s="526" t="s">
        <v>18</v>
      </c>
      <c r="M94" s="526" t="s">
        <v>18</v>
      </c>
      <c r="N94" s="526"/>
      <c r="O94" s="526"/>
      <c r="P94" s="526">
        <v>1.5</v>
      </c>
      <c r="Q94" s="526">
        <v>2005</v>
      </c>
      <c r="R94" s="526" t="s">
        <v>18</v>
      </c>
      <c r="S94" s="526"/>
      <c r="T94" s="526"/>
      <c r="U94" s="526"/>
      <c r="V94" s="526" t="s">
        <v>18</v>
      </c>
      <c r="W94" s="526"/>
      <c r="X94" s="526"/>
      <c r="Y94" s="526" t="s">
        <v>18</v>
      </c>
      <c r="Z94" s="526"/>
      <c r="AA94" s="526"/>
      <c r="AB94" s="526"/>
    </row>
    <row r="95" spans="1:28">
      <c r="A95" s="526">
        <v>92</v>
      </c>
      <c r="B95" s="750" t="s">
        <v>505</v>
      </c>
      <c r="C95" s="751"/>
      <c r="D95" s="526" t="s">
        <v>506</v>
      </c>
      <c r="E95" s="526">
        <v>606303761</v>
      </c>
      <c r="F95" s="526" t="s">
        <v>18</v>
      </c>
      <c r="G95" s="526"/>
      <c r="H95" s="526"/>
      <c r="I95" s="526" t="s">
        <v>18</v>
      </c>
      <c r="J95" s="526"/>
      <c r="K95" s="526">
        <v>250</v>
      </c>
      <c r="L95" s="526" t="s">
        <v>18</v>
      </c>
      <c r="M95" s="526"/>
      <c r="N95" s="526"/>
      <c r="O95" s="526"/>
      <c r="P95" s="526">
        <v>2.5</v>
      </c>
      <c r="Q95" s="526">
        <v>2002</v>
      </c>
      <c r="R95" s="526"/>
      <c r="S95" s="526"/>
      <c r="T95" s="526" t="s">
        <v>327</v>
      </c>
      <c r="U95" s="526" t="s">
        <v>18</v>
      </c>
      <c r="V95" s="526"/>
      <c r="W95" s="526"/>
      <c r="X95" s="526"/>
      <c r="Y95" s="526"/>
      <c r="Z95" s="526"/>
      <c r="AA95" s="526" t="s">
        <v>18</v>
      </c>
      <c r="AB95" s="526"/>
    </row>
    <row r="96" spans="1:28">
      <c r="A96" s="526">
        <v>93</v>
      </c>
      <c r="B96" s="750" t="s">
        <v>507</v>
      </c>
      <c r="C96" s="751"/>
      <c r="D96" s="526" t="s">
        <v>508</v>
      </c>
      <c r="E96" s="526">
        <v>609503243</v>
      </c>
      <c r="F96" s="526" t="s">
        <v>18</v>
      </c>
      <c r="G96" s="526"/>
      <c r="H96" s="526"/>
      <c r="I96" s="526" t="s">
        <v>18</v>
      </c>
      <c r="J96" s="526"/>
      <c r="K96" s="526">
        <v>100</v>
      </c>
      <c r="L96" s="526" t="s">
        <v>18</v>
      </c>
      <c r="M96" s="526"/>
      <c r="N96" s="526"/>
      <c r="O96" s="526"/>
      <c r="P96" s="526"/>
      <c r="Q96" s="526">
        <v>1995</v>
      </c>
      <c r="R96" s="526" t="s">
        <v>18</v>
      </c>
      <c r="S96" s="526"/>
      <c r="T96" s="526"/>
      <c r="U96" s="526" t="s">
        <v>18</v>
      </c>
      <c r="V96" s="526"/>
      <c r="W96" s="526"/>
      <c r="X96" s="526"/>
      <c r="Y96" s="526" t="s">
        <v>18</v>
      </c>
      <c r="Z96" s="526"/>
      <c r="AA96" s="526"/>
      <c r="AB96" s="526"/>
    </row>
    <row r="97" spans="1:28">
      <c r="A97" s="526">
        <v>94</v>
      </c>
      <c r="B97" s="750" t="s">
        <v>509</v>
      </c>
      <c r="C97" s="751"/>
      <c r="D97" s="526" t="s">
        <v>510</v>
      </c>
      <c r="E97" s="526">
        <v>509080300</v>
      </c>
      <c r="F97" s="526" t="s">
        <v>18</v>
      </c>
      <c r="G97" s="526"/>
      <c r="H97" s="526"/>
      <c r="I97" s="526" t="s">
        <v>18</v>
      </c>
      <c r="J97" s="526"/>
      <c r="K97" s="526">
        <v>120</v>
      </c>
      <c r="L97" s="526" t="s">
        <v>18</v>
      </c>
      <c r="M97" s="526" t="s">
        <v>18</v>
      </c>
      <c r="N97" s="526"/>
      <c r="O97" s="526"/>
      <c r="P97" s="526">
        <v>30</v>
      </c>
      <c r="Q97" s="526">
        <v>2004</v>
      </c>
      <c r="R97" s="526"/>
      <c r="S97" s="526"/>
      <c r="T97" s="526" t="s">
        <v>194</v>
      </c>
      <c r="U97" s="526" t="s">
        <v>18</v>
      </c>
      <c r="V97" s="526"/>
      <c r="W97" s="526"/>
      <c r="X97" s="526"/>
      <c r="Y97" s="526" t="s">
        <v>18</v>
      </c>
      <c r="Z97" s="526"/>
      <c r="AA97" s="526"/>
      <c r="AB97" s="526"/>
    </row>
    <row r="98" spans="1:28">
      <c r="A98" s="526">
        <v>95</v>
      </c>
      <c r="B98" s="750" t="s">
        <v>511</v>
      </c>
      <c r="C98" s="751"/>
      <c r="D98" s="526" t="s">
        <v>512</v>
      </c>
      <c r="E98" s="526">
        <v>661059134</v>
      </c>
      <c r="F98" s="526" t="s">
        <v>18</v>
      </c>
      <c r="G98" s="526"/>
      <c r="H98" s="526"/>
      <c r="I98" s="526" t="s">
        <v>18</v>
      </c>
      <c r="J98" s="526"/>
      <c r="K98" s="526">
        <v>170</v>
      </c>
      <c r="L98" s="526" t="s">
        <v>18</v>
      </c>
      <c r="M98" s="526"/>
      <c r="N98" s="526"/>
      <c r="O98" s="526"/>
      <c r="P98" s="526">
        <v>28</v>
      </c>
      <c r="Q98" s="526">
        <v>2013</v>
      </c>
      <c r="R98" s="526"/>
      <c r="S98" s="526" t="s">
        <v>18</v>
      </c>
      <c r="T98" s="526"/>
      <c r="U98" s="526" t="s">
        <v>18</v>
      </c>
      <c r="V98" s="526"/>
      <c r="W98" s="526"/>
      <c r="X98" s="526"/>
      <c r="Y98" s="526" t="s">
        <v>18</v>
      </c>
      <c r="Z98" s="526"/>
      <c r="AA98" s="526"/>
      <c r="AB98" s="526"/>
    </row>
    <row r="99" spans="1:28">
      <c r="A99" s="526">
        <v>96</v>
      </c>
      <c r="B99" s="750" t="s">
        <v>513</v>
      </c>
      <c r="C99" s="751"/>
      <c r="D99" s="526" t="s">
        <v>514</v>
      </c>
      <c r="E99" s="526">
        <v>509399486</v>
      </c>
      <c r="F99" s="526" t="s">
        <v>18</v>
      </c>
      <c r="G99" s="526"/>
      <c r="H99" s="526"/>
      <c r="I99" s="526" t="s">
        <v>18</v>
      </c>
      <c r="J99" s="526"/>
      <c r="K99" s="526">
        <v>180</v>
      </c>
      <c r="L99" s="526" t="s">
        <v>18</v>
      </c>
      <c r="M99" s="526"/>
      <c r="N99" s="526"/>
      <c r="O99" s="526"/>
      <c r="P99" s="526">
        <v>1.5</v>
      </c>
      <c r="Q99" s="526">
        <v>1999</v>
      </c>
      <c r="R99" s="526" t="s">
        <v>18</v>
      </c>
      <c r="S99" s="526"/>
      <c r="T99" s="526"/>
      <c r="U99" s="526" t="s">
        <v>18</v>
      </c>
      <c r="V99" s="526"/>
      <c r="W99" s="526"/>
      <c r="X99" s="526"/>
      <c r="Y99" s="526"/>
      <c r="Z99" s="526" t="s">
        <v>18</v>
      </c>
      <c r="AA99" s="526"/>
      <c r="AB99" s="526"/>
    </row>
    <row r="100" spans="1:28">
      <c r="A100" s="526">
        <v>97</v>
      </c>
      <c r="B100" s="750" t="s">
        <v>515</v>
      </c>
      <c r="C100" s="751"/>
      <c r="D100" s="526" t="s">
        <v>516</v>
      </c>
      <c r="E100" s="526">
        <v>486134715</v>
      </c>
      <c r="F100" s="526" t="s">
        <v>18</v>
      </c>
      <c r="G100" s="526"/>
      <c r="H100" s="526"/>
      <c r="I100" s="526" t="s">
        <v>18</v>
      </c>
      <c r="J100" s="526"/>
      <c r="K100" s="526">
        <v>250</v>
      </c>
      <c r="L100" s="526" t="s">
        <v>18</v>
      </c>
      <c r="M100" s="526"/>
      <c r="N100" s="526"/>
      <c r="O100" s="526"/>
      <c r="P100" s="526">
        <v>25</v>
      </c>
      <c r="Q100" s="526">
        <v>2013</v>
      </c>
      <c r="R100" s="526" t="s">
        <v>18</v>
      </c>
      <c r="S100" s="526"/>
      <c r="T100" s="526"/>
      <c r="U100" s="526" t="s">
        <v>18</v>
      </c>
      <c r="V100" s="526"/>
      <c r="W100" s="526"/>
      <c r="X100" s="526"/>
      <c r="Y100" s="526" t="s">
        <v>18</v>
      </c>
      <c r="Z100" s="526"/>
      <c r="AA100" s="526"/>
      <c r="AB100" s="526"/>
    </row>
    <row r="101" spans="1:28">
      <c r="A101" s="526">
        <v>98</v>
      </c>
      <c r="B101" s="750" t="s">
        <v>517</v>
      </c>
      <c r="C101" s="751"/>
      <c r="D101" s="526" t="s">
        <v>518</v>
      </c>
      <c r="E101" s="526">
        <v>793693230</v>
      </c>
      <c r="F101" s="526" t="s">
        <v>18</v>
      </c>
      <c r="G101" s="526"/>
      <c r="H101" s="526"/>
      <c r="I101" s="526" t="s">
        <v>18</v>
      </c>
      <c r="J101" s="526"/>
      <c r="K101" s="526">
        <v>150</v>
      </c>
      <c r="L101" s="526" t="s">
        <v>18</v>
      </c>
      <c r="M101" s="526"/>
      <c r="N101" s="526"/>
      <c r="O101" s="526"/>
      <c r="P101" s="526">
        <v>20</v>
      </c>
      <c r="Q101" s="526">
        <v>2010</v>
      </c>
      <c r="R101" s="526"/>
      <c r="S101" s="526" t="s">
        <v>18</v>
      </c>
      <c r="T101" s="526"/>
      <c r="U101" s="526" t="s">
        <v>18</v>
      </c>
      <c r="V101" s="526"/>
      <c r="W101" s="526"/>
      <c r="X101" s="526"/>
      <c r="Y101" s="526" t="s">
        <v>18</v>
      </c>
      <c r="Z101" s="526"/>
      <c r="AA101" s="526"/>
      <c r="AB101" s="526"/>
    </row>
    <row r="102" spans="1:28">
      <c r="A102" s="526">
        <v>99</v>
      </c>
      <c r="B102" s="750" t="s">
        <v>519</v>
      </c>
      <c r="C102" s="751"/>
      <c r="D102" s="526" t="s">
        <v>520</v>
      </c>
      <c r="E102" s="526">
        <v>509507800</v>
      </c>
      <c r="F102" s="526" t="s">
        <v>18</v>
      </c>
      <c r="G102" s="526"/>
      <c r="H102" s="526"/>
      <c r="I102" s="526" t="s">
        <v>18</v>
      </c>
      <c r="J102" s="526"/>
      <c r="K102" s="526">
        <v>150</v>
      </c>
      <c r="L102" s="526" t="s">
        <v>18</v>
      </c>
      <c r="M102" s="526"/>
      <c r="N102" s="526"/>
      <c r="O102" s="526"/>
      <c r="P102" s="526">
        <v>20</v>
      </c>
      <c r="Q102" s="526">
        <v>2008</v>
      </c>
      <c r="R102" s="526"/>
      <c r="S102" s="526" t="s">
        <v>18</v>
      </c>
      <c r="T102" s="526"/>
      <c r="U102" s="526" t="s">
        <v>18</v>
      </c>
      <c r="V102" s="526"/>
      <c r="W102" s="526"/>
      <c r="X102" s="526"/>
      <c r="Y102" s="526" t="s">
        <v>18</v>
      </c>
      <c r="Z102" s="526"/>
      <c r="AA102" s="526"/>
      <c r="AB102" s="526"/>
    </row>
    <row r="103" spans="1:28">
      <c r="A103" s="526">
        <v>100</v>
      </c>
      <c r="B103" s="750" t="s">
        <v>521</v>
      </c>
      <c r="C103" s="751"/>
      <c r="D103" s="526" t="s">
        <v>522</v>
      </c>
      <c r="E103" s="526">
        <v>511999163</v>
      </c>
      <c r="F103" s="526" t="s">
        <v>18</v>
      </c>
      <c r="G103" s="526"/>
      <c r="H103" s="526"/>
      <c r="I103" s="526" t="s">
        <v>18</v>
      </c>
      <c r="J103" s="526"/>
      <c r="K103" s="526">
        <v>120</v>
      </c>
      <c r="L103" s="526" t="s">
        <v>18</v>
      </c>
      <c r="M103" s="526"/>
      <c r="N103" s="526"/>
      <c r="O103" s="526"/>
      <c r="P103" s="526">
        <v>20</v>
      </c>
      <c r="Q103" s="526">
        <v>2009</v>
      </c>
      <c r="R103" s="526" t="s">
        <v>18</v>
      </c>
      <c r="S103" s="526"/>
      <c r="T103" s="526"/>
      <c r="U103" s="526" t="s">
        <v>18</v>
      </c>
      <c r="V103" s="526"/>
      <c r="W103" s="526"/>
      <c r="X103" s="526"/>
      <c r="Y103" s="526" t="s">
        <v>18</v>
      </c>
      <c r="Z103" s="526"/>
      <c r="AA103" s="526"/>
      <c r="AB103" s="526"/>
    </row>
    <row r="104" spans="1:28">
      <c r="A104" s="526">
        <v>101</v>
      </c>
      <c r="B104" s="750" t="s">
        <v>523</v>
      </c>
      <c r="C104" s="751"/>
      <c r="D104" s="526" t="s">
        <v>524</v>
      </c>
      <c r="E104" s="526">
        <v>512348648</v>
      </c>
      <c r="F104" s="526"/>
      <c r="G104" s="526" t="s">
        <v>18</v>
      </c>
      <c r="H104" s="526"/>
      <c r="I104" s="526"/>
      <c r="J104" s="526" t="s">
        <v>18</v>
      </c>
      <c r="K104" s="526">
        <v>120</v>
      </c>
      <c r="L104" s="526" t="s">
        <v>18</v>
      </c>
      <c r="M104" s="526"/>
      <c r="N104" s="526"/>
      <c r="O104" s="526"/>
      <c r="P104" s="526">
        <v>17</v>
      </c>
      <c r="Q104" s="526">
        <v>2010</v>
      </c>
      <c r="R104" s="526" t="s">
        <v>18</v>
      </c>
      <c r="S104" s="526"/>
      <c r="T104" s="526"/>
      <c r="U104" s="526" t="s">
        <v>18</v>
      </c>
      <c r="V104" s="526"/>
      <c r="W104" s="526"/>
      <c r="X104" s="526"/>
      <c r="Y104" s="526" t="s">
        <v>18</v>
      </c>
      <c r="Z104" s="526"/>
      <c r="AA104" s="526"/>
      <c r="AB104" s="526"/>
    </row>
    <row r="105" spans="1:28">
      <c r="A105" s="526">
        <v>102</v>
      </c>
      <c r="B105" s="750" t="s">
        <v>525</v>
      </c>
      <c r="C105" s="751"/>
      <c r="D105" s="526" t="s">
        <v>526</v>
      </c>
      <c r="E105" s="526">
        <v>609769557</v>
      </c>
      <c r="F105" s="526" t="s">
        <v>18</v>
      </c>
      <c r="G105" s="526"/>
      <c r="H105" s="526"/>
      <c r="I105" s="526" t="s">
        <v>18</v>
      </c>
      <c r="J105" s="526"/>
      <c r="K105" s="526">
        <v>170</v>
      </c>
      <c r="L105" s="526" t="s">
        <v>18</v>
      </c>
      <c r="M105" s="526"/>
      <c r="N105" s="526"/>
      <c r="O105" s="526"/>
      <c r="P105" s="526">
        <v>22</v>
      </c>
      <c r="Q105" s="526">
        <v>2008</v>
      </c>
      <c r="R105" s="526"/>
      <c r="S105" s="526" t="s">
        <v>18</v>
      </c>
      <c r="T105" s="526"/>
      <c r="U105" s="526" t="s">
        <v>18</v>
      </c>
      <c r="V105" s="526"/>
      <c r="W105" s="526"/>
      <c r="X105" s="526"/>
      <c r="Y105" s="526" t="s">
        <v>18</v>
      </c>
      <c r="Z105" s="526"/>
      <c r="AA105" s="526"/>
      <c r="AB105" s="526"/>
    </row>
    <row r="106" spans="1:28">
      <c r="A106" s="526">
        <v>103</v>
      </c>
      <c r="B106" s="750" t="s">
        <v>527</v>
      </c>
      <c r="C106" s="751"/>
      <c r="D106" s="526" t="s">
        <v>528</v>
      </c>
      <c r="E106" s="526">
        <v>601623363</v>
      </c>
      <c r="F106" s="526" t="s">
        <v>18</v>
      </c>
      <c r="G106" s="526"/>
      <c r="H106" s="526"/>
      <c r="I106" s="526" t="s">
        <v>18</v>
      </c>
      <c r="J106" s="526"/>
      <c r="K106" s="526">
        <v>120</v>
      </c>
      <c r="L106" s="526" t="s">
        <v>18</v>
      </c>
      <c r="M106" s="526" t="s">
        <v>18</v>
      </c>
      <c r="N106" s="526"/>
      <c r="O106" s="526"/>
      <c r="P106" s="526">
        <v>14</v>
      </c>
      <c r="Q106" s="526">
        <v>2009</v>
      </c>
      <c r="R106" s="526" t="s">
        <v>18</v>
      </c>
      <c r="S106" s="526"/>
      <c r="T106" s="526"/>
      <c r="U106" s="526" t="s">
        <v>18</v>
      </c>
      <c r="V106" s="526"/>
      <c r="W106" s="526"/>
      <c r="X106" s="526"/>
      <c r="Y106" s="526" t="s">
        <v>18</v>
      </c>
      <c r="Z106" s="526"/>
      <c r="AA106" s="526"/>
      <c r="AB106" s="526"/>
    </row>
    <row r="107" spans="1:28">
      <c r="A107" s="526">
        <v>104</v>
      </c>
      <c r="B107" s="750" t="s">
        <v>529</v>
      </c>
      <c r="C107" s="751"/>
      <c r="D107" s="526" t="s">
        <v>530</v>
      </c>
      <c r="E107" s="526">
        <v>503113714</v>
      </c>
      <c r="F107" s="526" t="s">
        <v>18</v>
      </c>
      <c r="G107" s="526"/>
      <c r="H107" s="526"/>
      <c r="I107" s="526" t="s">
        <v>18</v>
      </c>
      <c r="J107" s="526"/>
      <c r="K107" s="526">
        <v>200</v>
      </c>
      <c r="L107" s="526" t="s">
        <v>18</v>
      </c>
      <c r="M107" s="526"/>
      <c r="N107" s="526"/>
      <c r="O107" s="526"/>
      <c r="P107" s="526">
        <v>15</v>
      </c>
      <c r="Q107" s="526">
        <v>2007</v>
      </c>
      <c r="R107" s="526"/>
      <c r="S107" s="526" t="s">
        <v>18</v>
      </c>
      <c r="T107" s="526"/>
      <c r="U107" s="526"/>
      <c r="V107" s="526" t="s">
        <v>18</v>
      </c>
      <c r="W107" s="526"/>
      <c r="X107" s="526"/>
      <c r="Y107" s="526"/>
      <c r="Z107" s="526" t="s">
        <v>18</v>
      </c>
      <c r="AA107" s="526"/>
      <c r="AB107" s="526"/>
    </row>
    <row r="108" spans="1:28">
      <c r="A108" s="531">
        <v>105</v>
      </c>
      <c r="B108" s="746" t="s">
        <v>531</v>
      </c>
      <c r="C108" s="746"/>
      <c r="D108" s="531" t="s">
        <v>532</v>
      </c>
      <c r="E108" s="531">
        <v>514235693</v>
      </c>
      <c r="F108" s="531" t="s">
        <v>18</v>
      </c>
      <c r="G108" s="526"/>
      <c r="H108" s="526"/>
      <c r="I108" s="531" t="s">
        <v>18</v>
      </c>
      <c r="J108" s="526"/>
      <c r="K108" s="531">
        <v>141</v>
      </c>
      <c r="L108" s="531" t="s">
        <v>18</v>
      </c>
      <c r="M108" s="526" t="s">
        <v>18</v>
      </c>
      <c r="N108" s="526"/>
      <c r="O108" s="526"/>
      <c r="P108" s="531">
        <v>14</v>
      </c>
      <c r="Q108" s="531">
        <v>1989</v>
      </c>
      <c r="R108" s="526"/>
      <c r="S108" s="526"/>
      <c r="T108" s="526" t="s">
        <v>194</v>
      </c>
      <c r="U108" s="531" t="s">
        <v>18</v>
      </c>
      <c r="V108" s="526"/>
      <c r="W108" s="526"/>
      <c r="X108" s="526"/>
      <c r="Y108" s="531" t="s">
        <v>18</v>
      </c>
      <c r="Z108" s="526"/>
      <c r="AA108" s="526"/>
      <c r="AB108" s="526"/>
    </row>
  </sheetData>
  <mergeCells count="118">
    <mergeCell ref="B105:C105"/>
    <mergeCell ref="B106:C106"/>
    <mergeCell ref="B107:C107"/>
    <mergeCell ref="B108:C108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Y2:AB2"/>
    <mergeCell ref="B4:C4"/>
    <mergeCell ref="B5:C5"/>
    <mergeCell ref="B6:C6"/>
    <mergeCell ref="B7:C7"/>
    <mergeCell ref="B8:C8"/>
    <mergeCell ref="K2:K3"/>
    <mergeCell ref="L2:O2"/>
    <mergeCell ref="P2:P3"/>
    <mergeCell ref="Q2:Q3"/>
    <mergeCell ref="R2:T2"/>
    <mergeCell ref="U2:X2"/>
    <mergeCell ref="A2:A3"/>
    <mergeCell ref="B2:C3"/>
    <mergeCell ref="D2:D3"/>
    <mergeCell ref="E2:E3"/>
    <mergeCell ref="F2:H2"/>
    <mergeCell ref="I2:J2"/>
    <mergeCell ref="B9:C9"/>
    <mergeCell ref="B10:C10"/>
    <mergeCell ref="B11:C11"/>
  </mergeCells>
  <pageMargins left="0.7" right="0.7" top="0.75" bottom="0.75" header="0.3" footer="0.3"/>
  <pageSetup paperSize="9" scale="36" orientation="landscape" r:id="rId1"/>
  <rowBreaks count="1" manualBreakCount="1"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1:L82"/>
  <sheetViews>
    <sheetView showGridLines="0" view="pageBreakPreview" topLeftCell="A61" zoomScale="59" zoomScaleNormal="100" zoomScaleSheetLayoutView="59" workbookViewId="0">
      <selection activeCell="G73" sqref="G73"/>
    </sheetView>
  </sheetViews>
  <sheetFormatPr defaultColWidth="10" defaultRowHeight="14.4"/>
  <cols>
    <col min="1" max="1" width="2.77734375" style="27" customWidth="1"/>
    <col min="2" max="2" width="34.33203125" style="27" customWidth="1"/>
    <col min="3" max="3" width="19.44140625" style="27" customWidth="1"/>
    <col min="4" max="4" width="2.77734375" style="27" customWidth="1"/>
    <col min="5" max="5" width="41.109375" style="27" customWidth="1"/>
    <col min="6" max="7" width="20.6640625" style="27" customWidth="1"/>
    <col min="8" max="8" width="19.5546875" style="27" customWidth="1"/>
    <col min="9" max="9" width="18" style="27" customWidth="1"/>
    <col min="10" max="10" width="12.88671875" style="27" customWidth="1"/>
    <col min="11" max="11" width="20" style="27" customWidth="1"/>
    <col min="12" max="12" width="15" style="27" bestFit="1" customWidth="1"/>
    <col min="13" max="13" width="10" style="27" customWidth="1"/>
    <col min="14" max="14" width="12.88671875" style="27" customWidth="1"/>
    <col min="15" max="15" width="10" style="27" customWidth="1"/>
    <col min="16" max="18" width="12.88671875" style="27" customWidth="1"/>
    <col min="19" max="19" width="10" style="27" customWidth="1"/>
    <col min="20" max="16384" width="10" style="27"/>
  </cols>
  <sheetData>
    <row r="1" spans="2:12" s="26" customFormat="1" ht="15" customHeight="1" thickBot="1">
      <c r="J1" s="27"/>
    </row>
    <row r="2" spans="2:12" s="26" customFormat="1" ht="18.600000000000001" customHeight="1" thickBot="1">
      <c r="B2" s="758" t="s">
        <v>170</v>
      </c>
      <c r="C2" s="759"/>
      <c r="D2" s="759"/>
      <c r="E2" s="759"/>
      <c r="F2" s="759"/>
      <c r="G2" s="759"/>
      <c r="H2" s="759"/>
      <c r="I2" s="760"/>
      <c r="J2" s="27"/>
    </row>
    <row r="3" spans="2:12" s="26" customFormat="1" ht="18.600000000000001" customHeight="1" thickBot="1">
      <c r="B3" s="247"/>
      <c r="C3" s="248"/>
      <c r="D3" s="81"/>
      <c r="E3" s="81"/>
      <c r="F3" s="81"/>
      <c r="G3" s="81"/>
      <c r="H3" s="81"/>
      <c r="I3" s="81"/>
      <c r="J3" s="27"/>
    </row>
    <row r="4" spans="2:12" ht="29.4" customHeight="1" thickBot="1">
      <c r="B4" s="764" t="s">
        <v>186</v>
      </c>
      <c r="C4" s="765"/>
      <c r="E4" s="766" t="s">
        <v>25</v>
      </c>
      <c r="F4" s="767"/>
      <c r="G4" s="352"/>
      <c r="H4" s="30"/>
      <c r="I4" s="31"/>
      <c r="J4" s="757"/>
      <c r="K4" s="757"/>
      <c r="L4" s="757"/>
    </row>
    <row r="5" spans="2:12" ht="30" customHeight="1">
      <c r="B5" s="32" t="s">
        <v>21</v>
      </c>
      <c r="C5" s="33">
        <v>0.81499999999999995</v>
      </c>
      <c r="E5" s="354" t="s">
        <v>198</v>
      </c>
      <c r="F5" s="355">
        <v>0.89700000000000002</v>
      </c>
      <c r="G5" s="350"/>
      <c r="H5" s="35"/>
      <c r="I5" s="36"/>
      <c r="J5" s="37"/>
      <c r="K5" s="37"/>
      <c r="L5" s="37"/>
    </row>
    <row r="6" spans="2:12" ht="31.8" customHeight="1">
      <c r="B6" s="534" t="s">
        <v>194</v>
      </c>
      <c r="C6" s="33">
        <v>8.5000000000000006E-2</v>
      </c>
      <c r="E6" s="51" t="s">
        <v>228</v>
      </c>
      <c r="F6" s="353">
        <f>(F5*'Informacje ogolne'!H21)</f>
        <v>270902.07300000003</v>
      </c>
      <c r="G6" s="351"/>
      <c r="H6" s="35"/>
      <c r="I6" s="36"/>
      <c r="J6" s="37"/>
      <c r="K6" s="37"/>
      <c r="L6" s="37"/>
    </row>
    <row r="7" spans="2:12" ht="31.8" customHeight="1">
      <c r="B7" s="38" t="s">
        <v>23</v>
      </c>
      <c r="C7" s="39">
        <v>1.4999999999999999E-2</v>
      </c>
      <c r="E7" s="467" t="s">
        <v>229</v>
      </c>
      <c r="F7" s="468">
        <f>(F5*'Informacje ogolne'!T21)</f>
        <v>282271.54800000001</v>
      </c>
      <c r="G7" s="351"/>
      <c r="H7" s="35"/>
      <c r="I7" s="36"/>
      <c r="J7" s="37"/>
      <c r="K7" s="37"/>
      <c r="L7" s="37"/>
    </row>
    <row r="8" spans="2:12" ht="31.8" customHeight="1" thickBot="1">
      <c r="B8" s="40" t="s">
        <v>24</v>
      </c>
      <c r="C8" s="41">
        <v>8.5000000000000006E-2</v>
      </c>
      <c r="E8" s="55" t="s">
        <v>281</v>
      </c>
      <c r="F8" s="358">
        <f>(F5*'Informacje ogolne'!W21)</f>
        <v>291111.48300000001</v>
      </c>
      <c r="G8" s="351"/>
      <c r="H8" s="35"/>
      <c r="I8" s="36"/>
      <c r="J8" s="37"/>
      <c r="K8" s="37"/>
      <c r="L8" s="37"/>
    </row>
    <row r="9" spans="2:12" ht="31.8" customHeight="1" thickBot="1">
      <c r="B9" s="349"/>
      <c r="C9" s="470">
        <f>SUM(C5:C8)</f>
        <v>0.99999999999999989</v>
      </c>
      <c r="E9" s="535"/>
      <c r="F9" s="536"/>
      <c r="G9" s="351"/>
      <c r="H9" s="35"/>
      <c r="I9" s="36"/>
      <c r="J9" s="37"/>
      <c r="K9" s="37"/>
      <c r="L9" s="37"/>
    </row>
    <row r="10" spans="2:12" ht="31.8" customHeight="1">
      <c r="B10" s="349"/>
      <c r="C10" s="469"/>
      <c r="E10" s="37"/>
      <c r="F10" s="37"/>
      <c r="G10" s="351"/>
      <c r="H10" s="35"/>
      <c r="I10" s="36"/>
      <c r="J10" s="37"/>
      <c r="K10" s="37"/>
      <c r="L10" s="37"/>
    </row>
    <row r="11" spans="2:12" ht="26.4" customHeight="1">
      <c r="E11" s="356"/>
      <c r="F11" s="357"/>
      <c r="G11" s="34"/>
      <c r="H11" s="35"/>
      <c r="I11" s="36"/>
      <c r="J11" s="37"/>
      <c r="K11" s="37"/>
      <c r="L11" s="37"/>
    </row>
    <row r="12" spans="2:12" ht="15" thickBot="1"/>
    <row r="13" spans="2:12" ht="44.25" customHeight="1">
      <c r="E13" s="44">
        <v>2016</v>
      </c>
      <c r="F13" s="45" t="s">
        <v>230</v>
      </c>
      <c r="G13" s="45" t="s">
        <v>26</v>
      </c>
      <c r="H13" s="46" t="s">
        <v>231</v>
      </c>
      <c r="I13" s="47" t="s">
        <v>28</v>
      </c>
    </row>
    <row r="14" spans="2:12" ht="27" customHeight="1">
      <c r="E14" s="48" t="s">
        <v>21</v>
      </c>
      <c r="F14" s="49">
        <f>C5*F6</f>
        <v>220785.189495</v>
      </c>
      <c r="G14" s="53">
        <f>F14/3.6</f>
        <v>61329.219304166661</v>
      </c>
      <c r="H14" s="361">
        <f>'Wskaźniki emisji'!G16</f>
        <v>9.4730000000000009E-2</v>
      </c>
      <c r="I14" s="50">
        <f>F14*H14</f>
        <v>20914.981000861353</v>
      </c>
    </row>
    <row r="15" spans="2:12" ht="27" customHeight="1">
      <c r="E15" s="52" t="str">
        <f>B6</f>
        <v>gaz</v>
      </c>
      <c r="F15" s="53">
        <f>C6*F6</f>
        <v>23026.676205000003</v>
      </c>
      <c r="G15" s="53">
        <f>F15/3.6</f>
        <v>6396.2989458333341</v>
      </c>
      <c r="H15" s="362">
        <f>'Wskaźniki emisji'!G4</f>
        <v>5.6100000000000004E-2</v>
      </c>
      <c r="I15" s="50">
        <f>F15*H15</f>
        <v>1291.7965351005003</v>
      </c>
    </row>
    <row r="16" spans="2:12" ht="26.4" customHeight="1">
      <c r="E16" s="56" t="s">
        <v>23</v>
      </c>
      <c r="F16" s="53">
        <f>C7*F6</f>
        <v>4063.5310950000003</v>
      </c>
      <c r="G16" s="53">
        <f>F16/3.6</f>
        <v>1128.7586375000001</v>
      </c>
      <c r="H16" s="362">
        <f>'Wskaźniki emisji'!G15</f>
        <v>7.740000000000001E-2</v>
      </c>
      <c r="I16" s="50">
        <f>F16*H16</f>
        <v>314.51730675300007</v>
      </c>
    </row>
    <row r="17" spans="2:9" ht="31.2" customHeight="1" thickBot="1">
      <c r="E17" s="57" t="s">
        <v>24</v>
      </c>
      <c r="F17" s="58">
        <f>C8*F6</f>
        <v>23026.676205000003</v>
      </c>
      <c r="G17" s="58">
        <f>F17/3.6</f>
        <v>6396.2989458333341</v>
      </c>
      <c r="H17" s="359" t="s">
        <v>19</v>
      </c>
      <c r="I17" s="360" t="s">
        <v>19</v>
      </c>
    </row>
    <row r="18" spans="2:9" ht="33" customHeight="1" thickBot="1">
      <c r="E18" s="59" t="s">
        <v>20</v>
      </c>
      <c r="F18" s="60">
        <f>SUM(F14:F17)</f>
        <v>270902.07300000003</v>
      </c>
      <c r="G18" s="60">
        <f>SUM(G14:G17)</f>
        <v>75250.575833333321</v>
      </c>
      <c r="H18" s="61"/>
      <c r="I18" s="62">
        <f>SUM(I14:I16)</f>
        <v>22521.294842714855</v>
      </c>
    </row>
    <row r="19" spans="2:9" ht="33" customHeight="1">
      <c r="E19" s="75"/>
      <c r="F19" s="75"/>
      <c r="G19" s="43"/>
      <c r="H19" s="61"/>
      <c r="I19" s="43"/>
    </row>
    <row r="20" spans="2:9" ht="33" customHeight="1" thickBot="1">
      <c r="E20" s="75"/>
      <c r="F20" s="75"/>
      <c r="G20" s="75"/>
      <c r="H20" s="70"/>
      <c r="I20" s="43"/>
    </row>
    <row r="21" spans="2:9" ht="33" customHeight="1">
      <c r="E21" s="44">
        <v>2020</v>
      </c>
      <c r="F21" s="45" t="s">
        <v>230</v>
      </c>
      <c r="G21" s="45" t="s">
        <v>26</v>
      </c>
      <c r="H21" s="46" t="s">
        <v>231</v>
      </c>
      <c r="I21" s="47" t="s">
        <v>28</v>
      </c>
    </row>
    <row r="22" spans="2:9" ht="33" customHeight="1">
      <c r="E22" s="48" t="s">
        <v>21</v>
      </c>
      <c r="F22" s="49">
        <f>F26*C5</f>
        <v>230051.31161999999</v>
      </c>
      <c r="G22" s="53">
        <f>F22/3.6</f>
        <v>63903.142116666662</v>
      </c>
      <c r="H22" s="361">
        <f>H14</f>
        <v>9.4730000000000009E-2</v>
      </c>
      <c r="I22" s="50">
        <f>F22*H22</f>
        <v>21792.760749762601</v>
      </c>
    </row>
    <row r="23" spans="2:9" ht="33" customHeight="1">
      <c r="E23" s="52" t="str">
        <f>E15</f>
        <v>gaz</v>
      </c>
      <c r="F23" s="53">
        <f>C6*F26</f>
        <v>23993.081580000002</v>
      </c>
      <c r="G23" s="53">
        <f>F23/3.6</f>
        <v>6664.7448833333337</v>
      </c>
      <c r="H23" s="362">
        <f>H15</f>
        <v>5.6100000000000004E-2</v>
      </c>
      <c r="I23" s="50">
        <f>F23*H23</f>
        <v>1346.0118766380001</v>
      </c>
    </row>
    <row r="24" spans="2:9" ht="33" customHeight="1">
      <c r="E24" s="56" t="s">
        <v>23</v>
      </c>
      <c r="F24" s="53">
        <f>C7*F26</f>
        <v>4234.0732200000002</v>
      </c>
      <c r="G24" s="53">
        <f>F24/3.6</f>
        <v>1176.1314500000001</v>
      </c>
      <c r="H24" s="362">
        <f>H16</f>
        <v>7.740000000000001E-2</v>
      </c>
      <c r="I24" s="360">
        <f>F24*H24</f>
        <v>327.71726722800008</v>
      </c>
    </row>
    <row r="25" spans="2:9" ht="33" customHeight="1" thickBot="1">
      <c r="E25" s="57" t="s">
        <v>24</v>
      </c>
      <c r="F25" s="58">
        <f>C8*F26</f>
        <v>23993.081580000002</v>
      </c>
      <c r="G25" s="58">
        <f>F25/3.6</f>
        <v>6664.7448833333337</v>
      </c>
      <c r="H25" s="359" t="s">
        <v>19</v>
      </c>
      <c r="I25" s="360" t="s">
        <v>19</v>
      </c>
    </row>
    <row r="26" spans="2:9" ht="33" customHeight="1" thickBot="1">
      <c r="E26" s="59" t="s">
        <v>20</v>
      </c>
      <c r="F26" s="60">
        <f>F7</f>
        <v>282271.54800000001</v>
      </c>
      <c r="G26" s="60">
        <f>SUM(G22:G25)</f>
        <v>78408.763333333336</v>
      </c>
      <c r="H26" s="61"/>
      <c r="I26" s="62">
        <f>SUM(I22:I24)</f>
        <v>23466.489893628601</v>
      </c>
    </row>
    <row r="27" spans="2:9" ht="33" customHeight="1"/>
    <row r="28" spans="2:9" ht="33" customHeight="1"/>
    <row r="29" spans="2:9" ht="13.2" customHeight="1" thickBot="1"/>
    <row r="30" spans="2:9" ht="43.8" customHeight="1">
      <c r="E30" s="44" t="s">
        <v>275</v>
      </c>
      <c r="F30" s="45" t="str">
        <f>F13</f>
        <v>Zużycie ciepła [GJ]</v>
      </c>
      <c r="G30" s="45" t="str">
        <f>G13</f>
        <v>Zużycie ciepła [MWh]</v>
      </c>
      <c r="H30" s="46" t="str">
        <f>H13</f>
        <v>wskaźnik emisji [MG CO2/GJ]</v>
      </c>
      <c r="I30" s="47" t="s">
        <v>28</v>
      </c>
    </row>
    <row r="31" spans="2:9" ht="27" customHeight="1">
      <c r="C31" s="63"/>
      <c r="E31" s="48" t="s">
        <v>21</v>
      </c>
      <c r="F31" s="64">
        <f>C5*F8</f>
        <v>237255.858645</v>
      </c>
      <c r="G31" s="64">
        <f>F31/3.6</f>
        <v>65904.405179166672</v>
      </c>
      <c r="H31" s="365">
        <f>H14</f>
        <v>9.4730000000000009E-2</v>
      </c>
      <c r="I31" s="66">
        <f>F31*H31</f>
        <v>22475.247489440851</v>
      </c>
    </row>
    <row r="32" spans="2:9" ht="27" customHeight="1">
      <c r="B32" s="63"/>
      <c r="C32" s="63"/>
      <c r="E32" s="56" t="str">
        <f>B6</f>
        <v>gaz</v>
      </c>
      <c r="F32" s="64">
        <f>C6*F8</f>
        <v>24744.476055000003</v>
      </c>
      <c r="G32" s="64">
        <f>F32/3.6</f>
        <v>6873.4655708333339</v>
      </c>
      <c r="H32" s="365">
        <f>H15</f>
        <v>5.6100000000000004E-2</v>
      </c>
      <c r="I32" s="66">
        <f>F32*H32</f>
        <v>1388.1651066855002</v>
      </c>
    </row>
    <row r="33" spans="2:12" ht="27" customHeight="1">
      <c r="B33" s="63"/>
      <c r="C33" s="63"/>
      <c r="E33" s="56" t="s">
        <v>23</v>
      </c>
      <c r="F33" s="64">
        <f>C7*F8</f>
        <v>4366.6722449999997</v>
      </c>
      <c r="G33" s="64">
        <f>F33/3.6</f>
        <v>1212.9645125</v>
      </c>
      <c r="H33" s="365">
        <f>H16</f>
        <v>7.740000000000001E-2</v>
      </c>
      <c r="I33" s="66">
        <f>F33*H33</f>
        <v>337.98043176300001</v>
      </c>
    </row>
    <row r="34" spans="2:12" ht="27" customHeight="1" thickBot="1">
      <c r="C34" s="63"/>
      <c r="E34" s="57" t="s">
        <v>24</v>
      </c>
      <c r="F34" s="67">
        <f>C8*F8</f>
        <v>24744.476055000003</v>
      </c>
      <c r="G34" s="67">
        <f>F34/3.6</f>
        <v>6873.4655708333339</v>
      </c>
      <c r="H34" s="363" t="s">
        <v>19</v>
      </c>
      <c r="I34" s="364" t="s">
        <v>19</v>
      </c>
    </row>
    <row r="35" spans="2:12" ht="27" customHeight="1" thickBot="1">
      <c r="C35" s="63"/>
      <c r="E35" s="59" t="s">
        <v>20</v>
      </c>
      <c r="F35" s="69">
        <f>SUM(F31:F34)</f>
        <v>291111.48300000001</v>
      </c>
      <c r="G35" s="69">
        <f>SUM(G31:G34)</f>
        <v>80864.300833333327</v>
      </c>
      <c r="H35" s="70"/>
      <c r="I35" s="71">
        <f>SUM(I31:I33)</f>
        <v>24201.393027889353</v>
      </c>
    </row>
    <row r="36" spans="2:12" ht="27" customHeight="1">
      <c r="B36" s="249" t="s">
        <v>168</v>
      </c>
      <c r="C36" s="63"/>
    </row>
    <row r="37" spans="2:12" ht="15.6" customHeight="1">
      <c r="B37" s="72"/>
      <c r="C37" s="73"/>
      <c r="D37" s="72"/>
      <c r="E37" s="74"/>
      <c r="F37" s="74"/>
      <c r="G37" s="74"/>
      <c r="H37" s="70"/>
      <c r="I37" s="75"/>
    </row>
    <row r="38" spans="2:12" ht="27" customHeight="1" thickBot="1">
      <c r="B38" s="72"/>
      <c r="C38" s="73"/>
      <c r="D38" s="72"/>
      <c r="E38" s="74"/>
      <c r="F38" s="74"/>
      <c r="G38" s="74"/>
      <c r="H38" s="70"/>
      <c r="I38" s="75"/>
    </row>
    <row r="39" spans="2:12" ht="23.4" customHeight="1" thickBot="1">
      <c r="B39" s="761" t="s">
        <v>167</v>
      </c>
      <c r="C39" s="762"/>
      <c r="D39" s="762"/>
      <c r="E39" s="762"/>
      <c r="F39" s="762"/>
      <c r="G39" s="762"/>
      <c r="H39" s="762"/>
      <c r="I39" s="762"/>
      <c r="J39" s="763"/>
    </row>
    <row r="40" spans="2:12" ht="27" customHeight="1">
      <c r="B40" s="72"/>
      <c r="C40" s="73"/>
      <c r="D40" s="72"/>
      <c r="E40" s="74"/>
      <c r="F40" s="74"/>
      <c r="G40" s="74"/>
      <c r="H40" s="70"/>
      <c r="I40" s="75"/>
    </row>
    <row r="41" spans="2:12">
      <c r="B41" s="76" t="s">
        <v>29</v>
      </c>
      <c r="C41" s="77" t="s">
        <v>1</v>
      </c>
    </row>
    <row r="42" spans="2:12" s="26" customFormat="1" ht="49.8" customHeight="1">
      <c r="B42" s="78" t="s">
        <v>199</v>
      </c>
      <c r="C42" s="80">
        <f>(707.6*'Informacje ogolne'!H6)/1000</f>
        <v>7320.8296000000009</v>
      </c>
      <c r="D42" s="27"/>
      <c r="E42" s="27"/>
      <c r="F42" s="768" t="s">
        <v>533</v>
      </c>
      <c r="G42" s="768"/>
      <c r="H42" s="768"/>
      <c r="I42" s="768"/>
      <c r="J42" s="27"/>
    </row>
    <row r="43" spans="2:12" s="26" customFormat="1" ht="49.8" customHeight="1">
      <c r="B43" s="78" t="s">
        <v>282</v>
      </c>
      <c r="C43" s="80">
        <f>(C42*'Informacje ogolne'!J35)+'Sektor mieszkaniowy'!C42</f>
        <v>7351.169503494345</v>
      </c>
      <c r="D43" s="27"/>
      <c r="E43" s="27"/>
      <c r="F43" s="461"/>
      <c r="G43" s="461"/>
      <c r="H43" s="462"/>
      <c r="I43" s="462"/>
      <c r="J43" s="27"/>
    </row>
    <row r="44" spans="2:12" s="26" customFormat="1" ht="44.4" customHeight="1">
      <c r="B44" s="79" t="s">
        <v>276</v>
      </c>
      <c r="C44" s="80">
        <f>(C42*'Informacje ogolne'!J35)+'Sektor mieszkaniowy'!C42</f>
        <v>7351.169503494345</v>
      </c>
      <c r="D44" s="81"/>
      <c r="E44" s="81"/>
      <c r="F44" s="81"/>
      <c r="G44" s="81"/>
      <c r="H44" s="81"/>
      <c r="I44" s="81"/>
      <c r="J44" s="37"/>
      <c r="K44" s="81"/>
      <c r="L44" s="81"/>
    </row>
    <row r="45" spans="2:12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</row>
    <row r="46" spans="2:12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7" spans="2:12" ht="18.600000000000001" thickBot="1">
      <c r="B47" s="37"/>
      <c r="C47" s="37"/>
      <c r="D47" s="37"/>
      <c r="E47" s="82"/>
      <c r="F47" s="83"/>
      <c r="G47" s="83"/>
      <c r="H47" s="31"/>
      <c r="I47" s="37"/>
      <c r="J47" s="757"/>
      <c r="K47" s="757"/>
      <c r="L47" s="757"/>
    </row>
    <row r="48" spans="2:12" ht="42.6" customHeight="1">
      <c r="B48" s="37"/>
      <c r="C48" s="37"/>
      <c r="D48" s="37"/>
      <c r="E48" s="44">
        <v>2016</v>
      </c>
      <c r="F48" s="45" t="str">
        <f t="shared" ref="F48:H50" si="0">F13</f>
        <v>Zużycie ciepła [GJ]</v>
      </c>
      <c r="G48" s="45" t="str">
        <f t="shared" si="0"/>
        <v>Zużycie ciepła [MWh]</v>
      </c>
      <c r="H48" s="46" t="str">
        <f t="shared" si="0"/>
        <v>wskaźnik emisji [MG CO2/GJ]</v>
      </c>
      <c r="I48" s="47" t="s">
        <v>28</v>
      </c>
      <c r="J48" s="84"/>
      <c r="K48" s="85"/>
      <c r="L48" s="85"/>
    </row>
    <row r="49" spans="2:12" ht="19.8" customHeight="1">
      <c r="B49" s="37"/>
      <c r="C49" s="37"/>
      <c r="D49" s="37"/>
      <c r="E49" s="48" t="s">
        <v>21</v>
      </c>
      <c r="F49" s="53">
        <f t="shared" si="0"/>
        <v>220785.189495</v>
      </c>
      <c r="G49" s="53">
        <f t="shared" si="0"/>
        <v>61329.219304166661</v>
      </c>
      <c r="H49" s="54">
        <f t="shared" si="0"/>
        <v>9.4730000000000009E-2</v>
      </c>
      <c r="I49" s="50">
        <f>F49*H49</f>
        <v>20914.981000861353</v>
      </c>
      <c r="J49" s="86"/>
      <c r="K49" s="37"/>
      <c r="L49" s="37"/>
    </row>
    <row r="50" spans="2:12" ht="19.8" customHeight="1">
      <c r="B50" s="37"/>
      <c r="C50" s="37"/>
      <c r="D50" s="37"/>
      <c r="E50" s="367" t="str">
        <f>E15</f>
        <v>gaz</v>
      </c>
      <c r="F50" s="53">
        <f t="shared" si="0"/>
        <v>23026.676205000003</v>
      </c>
      <c r="G50" s="53">
        <f t="shared" si="0"/>
        <v>6396.2989458333341</v>
      </c>
      <c r="H50" s="54">
        <f t="shared" si="0"/>
        <v>5.6100000000000004E-2</v>
      </c>
      <c r="I50" s="50">
        <f>F50*H50</f>
        <v>1291.7965351005003</v>
      </c>
      <c r="J50" s="86"/>
      <c r="K50" s="37"/>
      <c r="L50" s="37"/>
    </row>
    <row r="51" spans="2:12" ht="19.8" customHeight="1">
      <c r="B51" s="37"/>
      <c r="C51" s="37"/>
      <c r="D51" s="37"/>
      <c r="E51" s="56" t="s">
        <v>22</v>
      </c>
      <c r="F51" s="366">
        <f>G51*3.6</f>
        <v>26354.986560000005</v>
      </c>
      <c r="G51" s="53">
        <f>C42</f>
        <v>7320.8296000000009</v>
      </c>
      <c r="H51" s="54">
        <f>'Wskaźniki emisji'!G18</f>
        <v>0.23097222222222222</v>
      </c>
      <c r="I51" s="50">
        <f>F51*H51</f>
        <v>6087.2698124000008</v>
      </c>
      <c r="J51" s="86"/>
      <c r="K51" s="37"/>
      <c r="L51" s="37"/>
    </row>
    <row r="52" spans="2:12" ht="19.8" customHeight="1">
      <c r="B52" s="37"/>
      <c r="C52" s="37"/>
      <c r="D52" s="37"/>
      <c r="E52" s="56" t="s">
        <v>23</v>
      </c>
      <c r="F52" s="53">
        <f>F16</f>
        <v>4063.5310950000003</v>
      </c>
      <c r="G52" s="53">
        <f>G16</f>
        <v>1128.7586375000001</v>
      </c>
      <c r="H52" s="54">
        <f>H16</f>
        <v>7.740000000000001E-2</v>
      </c>
      <c r="I52" s="50">
        <f>F52*H52</f>
        <v>314.51730675300007</v>
      </c>
      <c r="J52" s="86"/>
      <c r="K52" s="37"/>
      <c r="L52" s="37"/>
    </row>
    <row r="53" spans="2:12" ht="19.8" customHeight="1" thickBot="1">
      <c r="B53" s="37"/>
      <c r="C53" s="37"/>
      <c r="D53" s="37"/>
      <c r="E53" s="57" t="s">
        <v>24</v>
      </c>
      <c r="F53" s="58">
        <f>F17</f>
        <v>23026.676205000003</v>
      </c>
      <c r="G53" s="58">
        <f>G17</f>
        <v>6396.2989458333341</v>
      </c>
      <c r="H53" s="359" t="s">
        <v>19</v>
      </c>
      <c r="I53" s="360" t="s">
        <v>19</v>
      </c>
      <c r="J53" s="86"/>
      <c r="K53" s="37"/>
      <c r="L53" s="37"/>
    </row>
    <row r="54" spans="2:12" ht="24.75" customHeight="1" thickBot="1">
      <c r="B54" s="37"/>
      <c r="C54" s="37"/>
      <c r="D54" s="37"/>
      <c r="E54" s="59" t="s">
        <v>20</v>
      </c>
      <c r="F54" s="60">
        <f>SUM(F49:F53)</f>
        <v>297257.05956000002</v>
      </c>
      <c r="G54" s="60">
        <f>SUM(G49:G53)</f>
        <v>82571.405433333319</v>
      </c>
      <c r="H54" s="61"/>
      <c r="I54" s="62">
        <f>SUM(I49:I53)</f>
        <v>28608.564655114857</v>
      </c>
      <c r="J54" s="37"/>
      <c r="K54" s="37"/>
      <c r="L54" s="37"/>
    </row>
    <row r="55" spans="2:12">
      <c r="B55" s="37"/>
      <c r="C55" s="37"/>
      <c r="D55" s="37"/>
      <c r="E55" s="75"/>
      <c r="F55" s="87"/>
      <c r="G55" s="87"/>
      <c r="H55" s="75"/>
      <c r="I55" s="37"/>
      <c r="J55" s="37"/>
      <c r="K55" s="37"/>
      <c r="L55" s="37"/>
    </row>
    <row r="56" spans="2:12">
      <c r="B56" s="37"/>
      <c r="C56" s="37"/>
      <c r="D56" s="37"/>
      <c r="E56" s="75"/>
      <c r="F56" s="87"/>
      <c r="G56" s="87"/>
      <c r="H56" s="75"/>
      <c r="I56" s="37"/>
      <c r="J56" s="37"/>
      <c r="K56" s="37"/>
      <c r="L56" s="37"/>
    </row>
    <row r="57" spans="2:12" ht="15" thickBot="1">
      <c r="B57" s="37"/>
      <c r="C57" s="37"/>
      <c r="D57" s="37"/>
      <c r="E57" s="75"/>
      <c r="F57" s="87"/>
      <c r="G57" s="87"/>
      <c r="H57" s="75"/>
      <c r="I57" s="37"/>
      <c r="J57" s="37"/>
      <c r="K57" s="37"/>
      <c r="L57" s="37"/>
    </row>
    <row r="58" spans="2:12" ht="28.8">
      <c r="B58" s="37"/>
      <c r="C58" s="37"/>
      <c r="D58" s="37"/>
      <c r="E58" s="44">
        <v>2020</v>
      </c>
      <c r="F58" s="45" t="str">
        <f>F48</f>
        <v>Zużycie ciepła [GJ]</v>
      </c>
      <c r="G58" s="45" t="str">
        <f>G48</f>
        <v>Zużycie ciepła [MWh]</v>
      </c>
      <c r="H58" s="46" t="str">
        <f>H48</f>
        <v>wskaźnik emisji [MG CO2/GJ]</v>
      </c>
      <c r="I58" s="47" t="s">
        <v>28</v>
      </c>
      <c r="J58" s="37"/>
      <c r="K58" s="685"/>
      <c r="L58" s="37"/>
    </row>
    <row r="59" spans="2:12">
      <c r="B59" s="37"/>
      <c r="C59" s="37"/>
      <c r="D59" s="37"/>
      <c r="E59" s="48" t="s">
        <v>21</v>
      </c>
      <c r="F59" s="53">
        <f>F22</f>
        <v>230051.31161999999</v>
      </c>
      <c r="G59" s="53">
        <f>G22</f>
        <v>63903.142116666662</v>
      </c>
      <c r="H59" s="54">
        <f>H49</f>
        <v>9.4730000000000009E-2</v>
      </c>
      <c r="I59" s="360">
        <f>F59*H59</f>
        <v>21792.760749762601</v>
      </c>
      <c r="J59" s="37"/>
      <c r="K59" s="37"/>
      <c r="L59" s="37"/>
    </row>
    <row r="60" spans="2:12">
      <c r="B60" s="37"/>
      <c r="C60" s="37"/>
      <c r="D60" s="37"/>
      <c r="E60" s="367" t="str">
        <f>E50</f>
        <v>gaz</v>
      </c>
      <c r="F60" s="472">
        <f>F23</f>
        <v>23993.081580000002</v>
      </c>
      <c r="G60" s="472">
        <f>G23</f>
        <v>6664.7448833333337</v>
      </c>
      <c r="H60" s="54">
        <f>H50</f>
        <v>5.6100000000000004E-2</v>
      </c>
      <c r="I60" s="360">
        <f>F60*H60</f>
        <v>1346.0118766380001</v>
      </c>
      <c r="J60" s="37"/>
      <c r="K60" s="37"/>
      <c r="L60" s="37"/>
    </row>
    <row r="61" spans="2:12">
      <c r="B61" s="37"/>
      <c r="C61" s="37"/>
      <c r="D61" s="37"/>
      <c r="E61" s="56" t="s">
        <v>22</v>
      </c>
      <c r="F61" s="366">
        <f>G61*3.6</f>
        <v>26464.210212579641</v>
      </c>
      <c r="G61" s="53">
        <f>C43</f>
        <v>7351.169503494345</v>
      </c>
      <c r="H61" s="54">
        <f>H51</f>
        <v>0.23097222222222222</v>
      </c>
      <c r="I61" s="50">
        <f>F61*H61</f>
        <v>6112.4974421555471</v>
      </c>
      <c r="J61" s="37"/>
      <c r="K61" s="37"/>
      <c r="L61" s="37"/>
    </row>
    <row r="62" spans="2:12">
      <c r="B62" s="37"/>
      <c r="C62" s="37"/>
      <c r="D62" s="37"/>
      <c r="E62" s="56" t="s">
        <v>23</v>
      </c>
      <c r="F62" s="53">
        <f>F24</f>
        <v>4234.0732200000002</v>
      </c>
      <c r="G62" s="53">
        <f>G24</f>
        <v>1176.1314500000001</v>
      </c>
      <c r="H62" s="54">
        <f>H52</f>
        <v>7.740000000000001E-2</v>
      </c>
      <c r="I62" s="360">
        <f>F62*H62</f>
        <v>327.71726722800008</v>
      </c>
      <c r="J62" s="37"/>
      <c r="K62" s="37"/>
      <c r="L62" s="37"/>
    </row>
    <row r="63" spans="2:12" ht="15" thickBot="1">
      <c r="B63" s="37"/>
      <c r="C63" s="37"/>
      <c r="D63" s="37"/>
      <c r="E63" s="57" t="s">
        <v>24</v>
      </c>
      <c r="F63" s="471">
        <f>F25</f>
        <v>23993.081580000002</v>
      </c>
      <c r="G63" s="471">
        <f>G25</f>
        <v>6664.7448833333337</v>
      </c>
      <c r="H63" s="359" t="s">
        <v>19</v>
      </c>
      <c r="I63" s="360" t="s">
        <v>19</v>
      </c>
      <c r="J63" s="37"/>
      <c r="K63" s="37"/>
      <c r="L63" s="37"/>
    </row>
    <row r="64" spans="2:12" ht="15" thickBot="1">
      <c r="B64" s="37"/>
      <c r="C64" s="37"/>
      <c r="D64" s="37"/>
      <c r="E64" s="59" t="s">
        <v>20</v>
      </c>
      <c r="F64" s="60">
        <f>SUM(F59:F63)</f>
        <v>308735.75821257965</v>
      </c>
      <c r="G64" s="60">
        <f>SUM(G59:G63)</f>
        <v>85759.932836827677</v>
      </c>
      <c r="H64" s="61"/>
      <c r="I64" s="62">
        <f>SUM(I59:I63)</f>
        <v>29578.98733578415</v>
      </c>
      <c r="J64" s="37"/>
      <c r="K64" s="37"/>
      <c r="L64" s="37"/>
    </row>
    <row r="65" spans="2:12">
      <c r="B65" s="37"/>
      <c r="C65" s="37"/>
      <c r="D65" s="37"/>
      <c r="E65" s="75"/>
      <c r="F65" s="87"/>
      <c r="G65" s="87"/>
      <c r="H65" s="75"/>
      <c r="I65" s="37"/>
      <c r="J65" s="37"/>
      <c r="K65" s="37"/>
      <c r="L65" s="37"/>
    </row>
    <row r="66" spans="2:12" ht="15" thickBot="1"/>
    <row r="67" spans="2:12" ht="46.2" customHeight="1">
      <c r="E67" s="44" t="s">
        <v>275</v>
      </c>
      <c r="F67" s="45" t="str">
        <f>F48</f>
        <v>Zużycie ciepła [GJ]</v>
      </c>
      <c r="G67" s="45" t="str">
        <f>G48</f>
        <v>Zużycie ciepła [MWh]</v>
      </c>
      <c r="H67" s="46" t="str">
        <f>H48</f>
        <v>wskaźnik emisji [MG CO2/GJ]</v>
      </c>
      <c r="I67" s="47" t="s">
        <v>28</v>
      </c>
    </row>
    <row r="68" spans="2:12" ht="22.2" customHeight="1">
      <c r="E68" s="48" t="str">
        <f>E49</f>
        <v>węgiel</v>
      </c>
      <c r="F68" s="64">
        <f>F31</f>
        <v>237255.858645</v>
      </c>
      <c r="G68" s="64">
        <f>G31</f>
        <v>65904.405179166672</v>
      </c>
      <c r="H68" s="65">
        <f>H49</f>
        <v>9.4730000000000009E-2</v>
      </c>
      <c r="I68" s="66">
        <f>F68*H68</f>
        <v>22475.247489440851</v>
      </c>
      <c r="J68" s="63"/>
    </row>
    <row r="69" spans="2:12" ht="22.2" customHeight="1">
      <c r="E69" s="367" t="str">
        <f>E50</f>
        <v>gaz</v>
      </c>
      <c r="F69" s="64">
        <f>F32</f>
        <v>24744.476055000003</v>
      </c>
      <c r="G69" s="64">
        <f>G32</f>
        <v>6873.4655708333339</v>
      </c>
      <c r="H69" s="65">
        <f>H50</f>
        <v>5.6100000000000004E-2</v>
      </c>
      <c r="I69" s="66">
        <f>F69*H69</f>
        <v>1388.1651066855002</v>
      </c>
      <c r="J69" s="63"/>
    </row>
    <row r="70" spans="2:12" ht="22.2" customHeight="1">
      <c r="E70" s="56" t="str">
        <f>E51</f>
        <v>en. elektryczna</v>
      </c>
      <c r="F70" s="64">
        <f>G70*3.6</f>
        <v>26464.210212579641</v>
      </c>
      <c r="G70" s="64">
        <f>C44</f>
        <v>7351.169503494345</v>
      </c>
      <c r="H70" s="65">
        <f>H51</f>
        <v>0.23097222222222222</v>
      </c>
      <c r="I70" s="66">
        <f>F70*H70</f>
        <v>6112.4974421555471</v>
      </c>
      <c r="J70" s="63"/>
    </row>
    <row r="71" spans="2:12" ht="22.2" customHeight="1">
      <c r="E71" s="56" t="s">
        <v>23</v>
      </c>
      <c r="F71" s="64">
        <f>F33</f>
        <v>4366.6722449999997</v>
      </c>
      <c r="G71" s="64">
        <f>G33</f>
        <v>1212.9645125</v>
      </c>
      <c r="H71" s="65">
        <f>H52</f>
        <v>7.740000000000001E-2</v>
      </c>
      <c r="I71" s="66">
        <f>F71*H71</f>
        <v>337.98043176300001</v>
      </c>
      <c r="J71" s="63"/>
    </row>
    <row r="72" spans="2:12" ht="22.2" customHeight="1" thickBot="1">
      <c r="E72" s="57" t="s">
        <v>24</v>
      </c>
      <c r="F72" s="67">
        <f>F34</f>
        <v>24744.476055000003</v>
      </c>
      <c r="G72" s="67">
        <f>G34</f>
        <v>6873.4655708333339</v>
      </c>
      <c r="H72" s="68" t="str">
        <f>H53</f>
        <v>-</v>
      </c>
      <c r="I72" s="364" t="s">
        <v>19</v>
      </c>
      <c r="J72" s="63"/>
    </row>
    <row r="73" spans="2:12" ht="15" thickBot="1">
      <c r="E73" s="59" t="s">
        <v>20</v>
      </c>
      <c r="F73" s="69">
        <f>SUM(F68:F72)</f>
        <v>317575.69321257964</v>
      </c>
      <c r="G73" s="75"/>
      <c r="H73" s="70"/>
      <c r="I73" s="71">
        <f>SUM(I68:I72)</f>
        <v>30313.890470044902</v>
      </c>
    </row>
    <row r="81" spans="8:10">
      <c r="J81" s="88"/>
    </row>
    <row r="82" spans="8:10">
      <c r="H82" s="89"/>
    </row>
  </sheetData>
  <mergeCells count="7">
    <mergeCell ref="J47:L47"/>
    <mergeCell ref="B2:I2"/>
    <mergeCell ref="B39:J39"/>
    <mergeCell ref="B4:C4"/>
    <mergeCell ref="J4:L4"/>
    <mergeCell ref="E4:F4"/>
    <mergeCell ref="F42:I42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showGridLines="0" view="pageBreakPreview" topLeftCell="D70" zoomScale="89" zoomScaleNormal="56" zoomScaleSheetLayoutView="89" workbookViewId="0">
      <selection activeCell="D26" sqref="D26"/>
    </sheetView>
  </sheetViews>
  <sheetFormatPr defaultRowHeight="13.8"/>
  <cols>
    <col min="1" max="1" width="20.88671875" style="23" customWidth="1"/>
    <col min="2" max="3" width="20" style="23" customWidth="1"/>
    <col min="4" max="4" width="16.33203125" style="23" customWidth="1"/>
    <col min="5" max="5" width="14.77734375" style="23" customWidth="1"/>
    <col min="6" max="6" width="19.88671875" style="23" customWidth="1"/>
    <col min="7" max="15" width="19.44140625" style="23" customWidth="1"/>
    <col min="16" max="20" width="17" style="23" customWidth="1"/>
    <col min="21" max="23" width="8.88671875" style="23"/>
    <col min="24" max="24" width="23.21875" style="23" customWidth="1"/>
    <col min="25" max="25" width="14.5546875" style="23" customWidth="1"/>
    <col min="26" max="26" width="24.5546875" style="23" customWidth="1"/>
    <col min="27" max="257" width="8.88671875" style="23"/>
    <col min="258" max="258" width="20.88671875" style="23" customWidth="1"/>
    <col min="259" max="260" width="20" style="23" customWidth="1"/>
    <col min="261" max="261" width="16.33203125" style="23" customWidth="1"/>
    <col min="262" max="262" width="14.77734375" style="23" customWidth="1"/>
    <col min="263" max="263" width="19.88671875" style="23" customWidth="1"/>
    <col min="264" max="271" width="19.44140625" style="23" customWidth="1"/>
    <col min="272" max="276" width="17" style="23" customWidth="1"/>
    <col min="277" max="279" width="8.88671875" style="23"/>
    <col min="280" max="280" width="23.21875" style="23" customWidth="1"/>
    <col min="281" max="281" width="14.5546875" style="23" customWidth="1"/>
    <col min="282" max="282" width="24.5546875" style="23" customWidth="1"/>
    <col min="283" max="513" width="8.88671875" style="23"/>
    <col min="514" max="514" width="20.88671875" style="23" customWidth="1"/>
    <col min="515" max="516" width="20" style="23" customWidth="1"/>
    <col min="517" max="517" width="16.33203125" style="23" customWidth="1"/>
    <col min="518" max="518" width="14.77734375" style="23" customWidth="1"/>
    <col min="519" max="519" width="19.88671875" style="23" customWidth="1"/>
    <col min="520" max="527" width="19.44140625" style="23" customWidth="1"/>
    <col min="528" max="532" width="17" style="23" customWidth="1"/>
    <col min="533" max="535" width="8.88671875" style="23"/>
    <col min="536" max="536" width="23.21875" style="23" customWidth="1"/>
    <col min="537" max="537" width="14.5546875" style="23" customWidth="1"/>
    <col min="538" max="538" width="24.5546875" style="23" customWidth="1"/>
    <col min="539" max="769" width="8.88671875" style="23"/>
    <col min="770" max="770" width="20.88671875" style="23" customWidth="1"/>
    <col min="771" max="772" width="20" style="23" customWidth="1"/>
    <col min="773" max="773" width="16.33203125" style="23" customWidth="1"/>
    <col min="774" max="774" width="14.77734375" style="23" customWidth="1"/>
    <col min="775" max="775" width="19.88671875" style="23" customWidth="1"/>
    <col min="776" max="783" width="19.44140625" style="23" customWidth="1"/>
    <col min="784" max="788" width="17" style="23" customWidth="1"/>
    <col min="789" max="791" width="8.88671875" style="23"/>
    <col min="792" max="792" width="23.21875" style="23" customWidth="1"/>
    <col min="793" max="793" width="14.5546875" style="23" customWidth="1"/>
    <col min="794" max="794" width="24.5546875" style="23" customWidth="1"/>
    <col min="795" max="1025" width="8.88671875" style="23"/>
    <col min="1026" max="1026" width="20.88671875" style="23" customWidth="1"/>
    <col min="1027" max="1028" width="20" style="23" customWidth="1"/>
    <col min="1029" max="1029" width="16.33203125" style="23" customWidth="1"/>
    <col min="1030" max="1030" width="14.77734375" style="23" customWidth="1"/>
    <col min="1031" max="1031" width="19.88671875" style="23" customWidth="1"/>
    <col min="1032" max="1039" width="19.44140625" style="23" customWidth="1"/>
    <col min="1040" max="1044" width="17" style="23" customWidth="1"/>
    <col min="1045" max="1047" width="8.88671875" style="23"/>
    <col min="1048" max="1048" width="23.21875" style="23" customWidth="1"/>
    <col min="1049" max="1049" width="14.5546875" style="23" customWidth="1"/>
    <col min="1050" max="1050" width="24.5546875" style="23" customWidth="1"/>
    <col min="1051" max="1281" width="8.88671875" style="23"/>
    <col min="1282" max="1282" width="20.88671875" style="23" customWidth="1"/>
    <col min="1283" max="1284" width="20" style="23" customWidth="1"/>
    <col min="1285" max="1285" width="16.33203125" style="23" customWidth="1"/>
    <col min="1286" max="1286" width="14.77734375" style="23" customWidth="1"/>
    <col min="1287" max="1287" width="19.88671875" style="23" customWidth="1"/>
    <col min="1288" max="1295" width="19.44140625" style="23" customWidth="1"/>
    <col min="1296" max="1300" width="17" style="23" customWidth="1"/>
    <col min="1301" max="1303" width="8.88671875" style="23"/>
    <col min="1304" max="1304" width="23.21875" style="23" customWidth="1"/>
    <col min="1305" max="1305" width="14.5546875" style="23" customWidth="1"/>
    <col min="1306" max="1306" width="24.5546875" style="23" customWidth="1"/>
    <col min="1307" max="1537" width="8.88671875" style="23"/>
    <col min="1538" max="1538" width="20.88671875" style="23" customWidth="1"/>
    <col min="1539" max="1540" width="20" style="23" customWidth="1"/>
    <col min="1541" max="1541" width="16.33203125" style="23" customWidth="1"/>
    <col min="1542" max="1542" width="14.77734375" style="23" customWidth="1"/>
    <col min="1543" max="1543" width="19.88671875" style="23" customWidth="1"/>
    <col min="1544" max="1551" width="19.44140625" style="23" customWidth="1"/>
    <col min="1552" max="1556" width="17" style="23" customWidth="1"/>
    <col min="1557" max="1559" width="8.88671875" style="23"/>
    <col min="1560" max="1560" width="23.21875" style="23" customWidth="1"/>
    <col min="1561" max="1561" width="14.5546875" style="23" customWidth="1"/>
    <col min="1562" max="1562" width="24.5546875" style="23" customWidth="1"/>
    <col min="1563" max="1793" width="8.88671875" style="23"/>
    <col min="1794" max="1794" width="20.88671875" style="23" customWidth="1"/>
    <col min="1795" max="1796" width="20" style="23" customWidth="1"/>
    <col min="1797" max="1797" width="16.33203125" style="23" customWidth="1"/>
    <col min="1798" max="1798" width="14.77734375" style="23" customWidth="1"/>
    <col min="1799" max="1799" width="19.88671875" style="23" customWidth="1"/>
    <col min="1800" max="1807" width="19.44140625" style="23" customWidth="1"/>
    <col min="1808" max="1812" width="17" style="23" customWidth="1"/>
    <col min="1813" max="1815" width="8.88671875" style="23"/>
    <col min="1816" max="1816" width="23.21875" style="23" customWidth="1"/>
    <col min="1817" max="1817" width="14.5546875" style="23" customWidth="1"/>
    <col min="1818" max="1818" width="24.5546875" style="23" customWidth="1"/>
    <col min="1819" max="2049" width="8.88671875" style="23"/>
    <col min="2050" max="2050" width="20.88671875" style="23" customWidth="1"/>
    <col min="2051" max="2052" width="20" style="23" customWidth="1"/>
    <col min="2053" max="2053" width="16.33203125" style="23" customWidth="1"/>
    <col min="2054" max="2054" width="14.77734375" style="23" customWidth="1"/>
    <col min="2055" max="2055" width="19.88671875" style="23" customWidth="1"/>
    <col min="2056" max="2063" width="19.44140625" style="23" customWidth="1"/>
    <col min="2064" max="2068" width="17" style="23" customWidth="1"/>
    <col min="2069" max="2071" width="8.88671875" style="23"/>
    <col min="2072" max="2072" width="23.21875" style="23" customWidth="1"/>
    <col min="2073" max="2073" width="14.5546875" style="23" customWidth="1"/>
    <col min="2074" max="2074" width="24.5546875" style="23" customWidth="1"/>
    <col min="2075" max="2305" width="8.88671875" style="23"/>
    <col min="2306" max="2306" width="20.88671875" style="23" customWidth="1"/>
    <col min="2307" max="2308" width="20" style="23" customWidth="1"/>
    <col min="2309" max="2309" width="16.33203125" style="23" customWidth="1"/>
    <col min="2310" max="2310" width="14.77734375" style="23" customWidth="1"/>
    <col min="2311" max="2311" width="19.88671875" style="23" customWidth="1"/>
    <col min="2312" max="2319" width="19.44140625" style="23" customWidth="1"/>
    <col min="2320" max="2324" width="17" style="23" customWidth="1"/>
    <col min="2325" max="2327" width="8.88671875" style="23"/>
    <col min="2328" max="2328" width="23.21875" style="23" customWidth="1"/>
    <col min="2329" max="2329" width="14.5546875" style="23" customWidth="1"/>
    <col min="2330" max="2330" width="24.5546875" style="23" customWidth="1"/>
    <col min="2331" max="2561" width="8.88671875" style="23"/>
    <col min="2562" max="2562" width="20.88671875" style="23" customWidth="1"/>
    <col min="2563" max="2564" width="20" style="23" customWidth="1"/>
    <col min="2565" max="2565" width="16.33203125" style="23" customWidth="1"/>
    <col min="2566" max="2566" width="14.77734375" style="23" customWidth="1"/>
    <col min="2567" max="2567" width="19.88671875" style="23" customWidth="1"/>
    <col min="2568" max="2575" width="19.44140625" style="23" customWidth="1"/>
    <col min="2576" max="2580" width="17" style="23" customWidth="1"/>
    <col min="2581" max="2583" width="8.88671875" style="23"/>
    <col min="2584" max="2584" width="23.21875" style="23" customWidth="1"/>
    <col min="2585" max="2585" width="14.5546875" style="23" customWidth="1"/>
    <col min="2586" max="2586" width="24.5546875" style="23" customWidth="1"/>
    <col min="2587" max="2817" width="8.88671875" style="23"/>
    <col min="2818" max="2818" width="20.88671875" style="23" customWidth="1"/>
    <col min="2819" max="2820" width="20" style="23" customWidth="1"/>
    <col min="2821" max="2821" width="16.33203125" style="23" customWidth="1"/>
    <col min="2822" max="2822" width="14.77734375" style="23" customWidth="1"/>
    <col min="2823" max="2823" width="19.88671875" style="23" customWidth="1"/>
    <col min="2824" max="2831" width="19.44140625" style="23" customWidth="1"/>
    <col min="2832" max="2836" width="17" style="23" customWidth="1"/>
    <col min="2837" max="2839" width="8.88671875" style="23"/>
    <col min="2840" max="2840" width="23.21875" style="23" customWidth="1"/>
    <col min="2841" max="2841" width="14.5546875" style="23" customWidth="1"/>
    <col min="2842" max="2842" width="24.5546875" style="23" customWidth="1"/>
    <col min="2843" max="3073" width="8.88671875" style="23"/>
    <col min="3074" max="3074" width="20.88671875" style="23" customWidth="1"/>
    <col min="3075" max="3076" width="20" style="23" customWidth="1"/>
    <col min="3077" max="3077" width="16.33203125" style="23" customWidth="1"/>
    <col min="3078" max="3078" width="14.77734375" style="23" customWidth="1"/>
    <col min="3079" max="3079" width="19.88671875" style="23" customWidth="1"/>
    <col min="3080" max="3087" width="19.44140625" style="23" customWidth="1"/>
    <col min="3088" max="3092" width="17" style="23" customWidth="1"/>
    <col min="3093" max="3095" width="8.88671875" style="23"/>
    <col min="3096" max="3096" width="23.21875" style="23" customWidth="1"/>
    <col min="3097" max="3097" width="14.5546875" style="23" customWidth="1"/>
    <col min="3098" max="3098" width="24.5546875" style="23" customWidth="1"/>
    <col min="3099" max="3329" width="8.88671875" style="23"/>
    <col min="3330" max="3330" width="20.88671875" style="23" customWidth="1"/>
    <col min="3331" max="3332" width="20" style="23" customWidth="1"/>
    <col min="3333" max="3333" width="16.33203125" style="23" customWidth="1"/>
    <col min="3334" max="3334" width="14.77734375" style="23" customWidth="1"/>
    <col min="3335" max="3335" width="19.88671875" style="23" customWidth="1"/>
    <col min="3336" max="3343" width="19.44140625" style="23" customWidth="1"/>
    <col min="3344" max="3348" width="17" style="23" customWidth="1"/>
    <col min="3349" max="3351" width="8.88671875" style="23"/>
    <col min="3352" max="3352" width="23.21875" style="23" customWidth="1"/>
    <col min="3353" max="3353" width="14.5546875" style="23" customWidth="1"/>
    <col min="3354" max="3354" width="24.5546875" style="23" customWidth="1"/>
    <col min="3355" max="3585" width="8.88671875" style="23"/>
    <col min="3586" max="3586" width="20.88671875" style="23" customWidth="1"/>
    <col min="3587" max="3588" width="20" style="23" customWidth="1"/>
    <col min="3589" max="3589" width="16.33203125" style="23" customWidth="1"/>
    <col min="3590" max="3590" width="14.77734375" style="23" customWidth="1"/>
    <col min="3591" max="3591" width="19.88671875" style="23" customWidth="1"/>
    <col min="3592" max="3599" width="19.44140625" style="23" customWidth="1"/>
    <col min="3600" max="3604" width="17" style="23" customWidth="1"/>
    <col min="3605" max="3607" width="8.88671875" style="23"/>
    <col min="3608" max="3608" width="23.21875" style="23" customWidth="1"/>
    <col min="3609" max="3609" width="14.5546875" style="23" customWidth="1"/>
    <col min="3610" max="3610" width="24.5546875" style="23" customWidth="1"/>
    <col min="3611" max="3841" width="8.88671875" style="23"/>
    <col min="3842" max="3842" width="20.88671875" style="23" customWidth="1"/>
    <col min="3843" max="3844" width="20" style="23" customWidth="1"/>
    <col min="3845" max="3845" width="16.33203125" style="23" customWidth="1"/>
    <col min="3846" max="3846" width="14.77734375" style="23" customWidth="1"/>
    <col min="3847" max="3847" width="19.88671875" style="23" customWidth="1"/>
    <col min="3848" max="3855" width="19.44140625" style="23" customWidth="1"/>
    <col min="3856" max="3860" width="17" style="23" customWidth="1"/>
    <col min="3861" max="3863" width="8.88671875" style="23"/>
    <col min="3864" max="3864" width="23.21875" style="23" customWidth="1"/>
    <col min="3865" max="3865" width="14.5546875" style="23" customWidth="1"/>
    <col min="3866" max="3866" width="24.5546875" style="23" customWidth="1"/>
    <col min="3867" max="4097" width="8.88671875" style="23"/>
    <col min="4098" max="4098" width="20.88671875" style="23" customWidth="1"/>
    <col min="4099" max="4100" width="20" style="23" customWidth="1"/>
    <col min="4101" max="4101" width="16.33203125" style="23" customWidth="1"/>
    <col min="4102" max="4102" width="14.77734375" style="23" customWidth="1"/>
    <col min="4103" max="4103" width="19.88671875" style="23" customWidth="1"/>
    <col min="4104" max="4111" width="19.44140625" style="23" customWidth="1"/>
    <col min="4112" max="4116" width="17" style="23" customWidth="1"/>
    <col min="4117" max="4119" width="8.88671875" style="23"/>
    <col min="4120" max="4120" width="23.21875" style="23" customWidth="1"/>
    <col min="4121" max="4121" width="14.5546875" style="23" customWidth="1"/>
    <col min="4122" max="4122" width="24.5546875" style="23" customWidth="1"/>
    <col min="4123" max="4353" width="8.88671875" style="23"/>
    <col min="4354" max="4354" width="20.88671875" style="23" customWidth="1"/>
    <col min="4355" max="4356" width="20" style="23" customWidth="1"/>
    <col min="4357" max="4357" width="16.33203125" style="23" customWidth="1"/>
    <col min="4358" max="4358" width="14.77734375" style="23" customWidth="1"/>
    <col min="4359" max="4359" width="19.88671875" style="23" customWidth="1"/>
    <col min="4360" max="4367" width="19.44140625" style="23" customWidth="1"/>
    <col min="4368" max="4372" width="17" style="23" customWidth="1"/>
    <col min="4373" max="4375" width="8.88671875" style="23"/>
    <col min="4376" max="4376" width="23.21875" style="23" customWidth="1"/>
    <col min="4377" max="4377" width="14.5546875" style="23" customWidth="1"/>
    <col min="4378" max="4378" width="24.5546875" style="23" customWidth="1"/>
    <col min="4379" max="4609" width="8.88671875" style="23"/>
    <col min="4610" max="4610" width="20.88671875" style="23" customWidth="1"/>
    <col min="4611" max="4612" width="20" style="23" customWidth="1"/>
    <col min="4613" max="4613" width="16.33203125" style="23" customWidth="1"/>
    <col min="4614" max="4614" width="14.77734375" style="23" customWidth="1"/>
    <col min="4615" max="4615" width="19.88671875" style="23" customWidth="1"/>
    <col min="4616" max="4623" width="19.44140625" style="23" customWidth="1"/>
    <col min="4624" max="4628" width="17" style="23" customWidth="1"/>
    <col min="4629" max="4631" width="8.88671875" style="23"/>
    <col min="4632" max="4632" width="23.21875" style="23" customWidth="1"/>
    <col min="4633" max="4633" width="14.5546875" style="23" customWidth="1"/>
    <col min="4634" max="4634" width="24.5546875" style="23" customWidth="1"/>
    <col min="4635" max="4865" width="8.88671875" style="23"/>
    <col min="4866" max="4866" width="20.88671875" style="23" customWidth="1"/>
    <col min="4867" max="4868" width="20" style="23" customWidth="1"/>
    <col min="4869" max="4869" width="16.33203125" style="23" customWidth="1"/>
    <col min="4870" max="4870" width="14.77734375" style="23" customWidth="1"/>
    <col min="4871" max="4871" width="19.88671875" style="23" customWidth="1"/>
    <col min="4872" max="4879" width="19.44140625" style="23" customWidth="1"/>
    <col min="4880" max="4884" width="17" style="23" customWidth="1"/>
    <col min="4885" max="4887" width="8.88671875" style="23"/>
    <col min="4888" max="4888" width="23.21875" style="23" customWidth="1"/>
    <col min="4889" max="4889" width="14.5546875" style="23" customWidth="1"/>
    <col min="4890" max="4890" width="24.5546875" style="23" customWidth="1"/>
    <col min="4891" max="5121" width="8.88671875" style="23"/>
    <col min="5122" max="5122" width="20.88671875" style="23" customWidth="1"/>
    <col min="5123" max="5124" width="20" style="23" customWidth="1"/>
    <col min="5125" max="5125" width="16.33203125" style="23" customWidth="1"/>
    <col min="5126" max="5126" width="14.77734375" style="23" customWidth="1"/>
    <col min="5127" max="5127" width="19.88671875" style="23" customWidth="1"/>
    <col min="5128" max="5135" width="19.44140625" style="23" customWidth="1"/>
    <col min="5136" max="5140" width="17" style="23" customWidth="1"/>
    <col min="5141" max="5143" width="8.88671875" style="23"/>
    <col min="5144" max="5144" width="23.21875" style="23" customWidth="1"/>
    <col min="5145" max="5145" width="14.5546875" style="23" customWidth="1"/>
    <col min="5146" max="5146" width="24.5546875" style="23" customWidth="1"/>
    <col min="5147" max="5377" width="8.88671875" style="23"/>
    <col min="5378" max="5378" width="20.88671875" style="23" customWidth="1"/>
    <col min="5379" max="5380" width="20" style="23" customWidth="1"/>
    <col min="5381" max="5381" width="16.33203125" style="23" customWidth="1"/>
    <col min="5382" max="5382" width="14.77734375" style="23" customWidth="1"/>
    <col min="5383" max="5383" width="19.88671875" style="23" customWidth="1"/>
    <col min="5384" max="5391" width="19.44140625" style="23" customWidth="1"/>
    <col min="5392" max="5396" width="17" style="23" customWidth="1"/>
    <col min="5397" max="5399" width="8.88671875" style="23"/>
    <col min="5400" max="5400" width="23.21875" style="23" customWidth="1"/>
    <col min="5401" max="5401" width="14.5546875" style="23" customWidth="1"/>
    <col min="5402" max="5402" width="24.5546875" style="23" customWidth="1"/>
    <col min="5403" max="5633" width="8.88671875" style="23"/>
    <col min="5634" max="5634" width="20.88671875" style="23" customWidth="1"/>
    <col min="5635" max="5636" width="20" style="23" customWidth="1"/>
    <col min="5637" max="5637" width="16.33203125" style="23" customWidth="1"/>
    <col min="5638" max="5638" width="14.77734375" style="23" customWidth="1"/>
    <col min="5639" max="5639" width="19.88671875" style="23" customWidth="1"/>
    <col min="5640" max="5647" width="19.44140625" style="23" customWidth="1"/>
    <col min="5648" max="5652" width="17" style="23" customWidth="1"/>
    <col min="5653" max="5655" width="8.88671875" style="23"/>
    <col min="5656" max="5656" width="23.21875" style="23" customWidth="1"/>
    <col min="5657" max="5657" width="14.5546875" style="23" customWidth="1"/>
    <col min="5658" max="5658" width="24.5546875" style="23" customWidth="1"/>
    <col min="5659" max="5889" width="8.88671875" style="23"/>
    <col min="5890" max="5890" width="20.88671875" style="23" customWidth="1"/>
    <col min="5891" max="5892" width="20" style="23" customWidth="1"/>
    <col min="5893" max="5893" width="16.33203125" style="23" customWidth="1"/>
    <col min="5894" max="5894" width="14.77734375" style="23" customWidth="1"/>
    <col min="5895" max="5895" width="19.88671875" style="23" customWidth="1"/>
    <col min="5896" max="5903" width="19.44140625" style="23" customWidth="1"/>
    <col min="5904" max="5908" width="17" style="23" customWidth="1"/>
    <col min="5909" max="5911" width="8.88671875" style="23"/>
    <col min="5912" max="5912" width="23.21875" style="23" customWidth="1"/>
    <col min="5913" max="5913" width="14.5546875" style="23" customWidth="1"/>
    <col min="5914" max="5914" width="24.5546875" style="23" customWidth="1"/>
    <col min="5915" max="6145" width="8.88671875" style="23"/>
    <col min="6146" max="6146" width="20.88671875" style="23" customWidth="1"/>
    <col min="6147" max="6148" width="20" style="23" customWidth="1"/>
    <col min="6149" max="6149" width="16.33203125" style="23" customWidth="1"/>
    <col min="6150" max="6150" width="14.77734375" style="23" customWidth="1"/>
    <col min="6151" max="6151" width="19.88671875" style="23" customWidth="1"/>
    <col min="6152" max="6159" width="19.44140625" style="23" customWidth="1"/>
    <col min="6160" max="6164" width="17" style="23" customWidth="1"/>
    <col min="6165" max="6167" width="8.88671875" style="23"/>
    <col min="6168" max="6168" width="23.21875" style="23" customWidth="1"/>
    <col min="6169" max="6169" width="14.5546875" style="23" customWidth="1"/>
    <col min="6170" max="6170" width="24.5546875" style="23" customWidth="1"/>
    <col min="6171" max="6401" width="8.88671875" style="23"/>
    <col min="6402" max="6402" width="20.88671875" style="23" customWidth="1"/>
    <col min="6403" max="6404" width="20" style="23" customWidth="1"/>
    <col min="6405" max="6405" width="16.33203125" style="23" customWidth="1"/>
    <col min="6406" max="6406" width="14.77734375" style="23" customWidth="1"/>
    <col min="6407" max="6407" width="19.88671875" style="23" customWidth="1"/>
    <col min="6408" max="6415" width="19.44140625" style="23" customWidth="1"/>
    <col min="6416" max="6420" width="17" style="23" customWidth="1"/>
    <col min="6421" max="6423" width="8.88671875" style="23"/>
    <col min="6424" max="6424" width="23.21875" style="23" customWidth="1"/>
    <col min="6425" max="6425" width="14.5546875" style="23" customWidth="1"/>
    <col min="6426" max="6426" width="24.5546875" style="23" customWidth="1"/>
    <col min="6427" max="6657" width="8.88671875" style="23"/>
    <col min="6658" max="6658" width="20.88671875" style="23" customWidth="1"/>
    <col min="6659" max="6660" width="20" style="23" customWidth="1"/>
    <col min="6661" max="6661" width="16.33203125" style="23" customWidth="1"/>
    <col min="6662" max="6662" width="14.77734375" style="23" customWidth="1"/>
    <col min="6663" max="6663" width="19.88671875" style="23" customWidth="1"/>
    <col min="6664" max="6671" width="19.44140625" style="23" customWidth="1"/>
    <col min="6672" max="6676" width="17" style="23" customWidth="1"/>
    <col min="6677" max="6679" width="8.88671875" style="23"/>
    <col min="6680" max="6680" width="23.21875" style="23" customWidth="1"/>
    <col min="6681" max="6681" width="14.5546875" style="23" customWidth="1"/>
    <col min="6682" max="6682" width="24.5546875" style="23" customWidth="1"/>
    <col min="6683" max="6913" width="8.88671875" style="23"/>
    <col min="6914" max="6914" width="20.88671875" style="23" customWidth="1"/>
    <col min="6915" max="6916" width="20" style="23" customWidth="1"/>
    <col min="6917" max="6917" width="16.33203125" style="23" customWidth="1"/>
    <col min="6918" max="6918" width="14.77734375" style="23" customWidth="1"/>
    <col min="6919" max="6919" width="19.88671875" style="23" customWidth="1"/>
    <col min="6920" max="6927" width="19.44140625" style="23" customWidth="1"/>
    <col min="6928" max="6932" width="17" style="23" customWidth="1"/>
    <col min="6933" max="6935" width="8.88671875" style="23"/>
    <col min="6936" max="6936" width="23.21875" style="23" customWidth="1"/>
    <col min="6937" max="6937" width="14.5546875" style="23" customWidth="1"/>
    <col min="6938" max="6938" width="24.5546875" style="23" customWidth="1"/>
    <col min="6939" max="7169" width="8.88671875" style="23"/>
    <col min="7170" max="7170" width="20.88671875" style="23" customWidth="1"/>
    <col min="7171" max="7172" width="20" style="23" customWidth="1"/>
    <col min="7173" max="7173" width="16.33203125" style="23" customWidth="1"/>
    <col min="7174" max="7174" width="14.77734375" style="23" customWidth="1"/>
    <col min="7175" max="7175" width="19.88671875" style="23" customWidth="1"/>
    <col min="7176" max="7183" width="19.44140625" style="23" customWidth="1"/>
    <col min="7184" max="7188" width="17" style="23" customWidth="1"/>
    <col min="7189" max="7191" width="8.88671875" style="23"/>
    <col min="7192" max="7192" width="23.21875" style="23" customWidth="1"/>
    <col min="7193" max="7193" width="14.5546875" style="23" customWidth="1"/>
    <col min="7194" max="7194" width="24.5546875" style="23" customWidth="1"/>
    <col min="7195" max="7425" width="8.88671875" style="23"/>
    <col min="7426" max="7426" width="20.88671875" style="23" customWidth="1"/>
    <col min="7427" max="7428" width="20" style="23" customWidth="1"/>
    <col min="7429" max="7429" width="16.33203125" style="23" customWidth="1"/>
    <col min="7430" max="7430" width="14.77734375" style="23" customWidth="1"/>
    <col min="7431" max="7431" width="19.88671875" style="23" customWidth="1"/>
    <col min="7432" max="7439" width="19.44140625" style="23" customWidth="1"/>
    <col min="7440" max="7444" width="17" style="23" customWidth="1"/>
    <col min="7445" max="7447" width="8.88671875" style="23"/>
    <col min="7448" max="7448" width="23.21875" style="23" customWidth="1"/>
    <col min="7449" max="7449" width="14.5546875" style="23" customWidth="1"/>
    <col min="7450" max="7450" width="24.5546875" style="23" customWidth="1"/>
    <col min="7451" max="7681" width="8.88671875" style="23"/>
    <col min="7682" max="7682" width="20.88671875" style="23" customWidth="1"/>
    <col min="7683" max="7684" width="20" style="23" customWidth="1"/>
    <col min="7685" max="7685" width="16.33203125" style="23" customWidth="1"/>
    <col min="7686" max="7686" width="14.77734375" style="23" customWidth="1"/>
    <col min="7687" max="7687" width="19.88671875" style="23" customWidth="1"/>
    <col min="7688" max="7695" width="19.44140625" style="23" customWidth="1"/>
    <col min="7696" max="7700" width="17" style="23" customWidth="1"/>
    <col min="7701" max="7703" width="8.88671875" style="23"/>
    <col min="7704" max="7704" width="23.21875" style="23" customWidth="1"/>
    <col min="7705" max="7705" width="14.5546875" style="23" customWidth="1"/>
    <col min="7706" max="7706" width="24.5546875" style="23" customWidth="1"/>
    <col min="7707" max="7937" width="8.88671875" style="23"/>
    <col min="7938" max="7938" width="20.88671875" style="23" customWidth="1"/>
    <col min="7939" max="7940" width="20" style="23" customWidth="1"/>
    <col min="7941" max="7941" width="16.33203125" style="23" customWidth="1"/>
    <col min="7942" max="7942" width="14.77734375" style="23" customWidth="1"/>
    <col min="7943" max="7943" width="19.88671875" style="23" customWidth="1"/>
    <col min="7944" max="7951" width="19.44140625" style="23" customWidth="1"/>
    <col min="7952" max="7956" width="17" style="23" customWidth="1"/>
    <col min="7957" max="7959" width="8.88671875" style="23"/>
    <col min="7960" max="7960" width="23.21875" style="23" customWidth="1"/>
    <col min="7961" max="7961" width="14.5546875" style="23" customWidth="1"/>
    <col min="7962" max="7962" width="24.5546875" style="23" customWidth="1"/>
    <col min="7963" max="8193" width="8.88671875" style="23"/>
    <col min="8194" max="8194" width="20.88671875" style="23" customWidth="1"/>
    <col min="8195" max="8196" width="20" style="23" customWidth="1"/>
    <col min="8197" max="8197" width="16.33203125" style="23" customWidth="1"/>
    <col min="8198" max="8198" width="14.77734375" style="23" customWidth="1"/>
    <col min="8199" max="8199" width="19.88671875" style="23" customWidth="1"/>
    <col min="8200" max="8207" width="19.44140625" style="23" customWidth="1"/>
    <col min="8208" max="8212" width="17" style="23" customWidth="1"/>
    <col min="8213" max="8215" width="8.88671875" style="23"/>
    <col min="8216" max="8216" width="23.21875" style="23" customWidth="1"/>
    <col min="8217" max="8217" width="14.5546875" style="23" customWidth="1"/>
    <col min="8218" max="8218" width="24.5546875" style="23" customWidth="1"/>
    <col min="8219" max="8449" width="8.88671875" style="23"/>
    <col min="8450" max="8450" width="20.88671875" style="23" customWidth="1"/>
    <col min="8451" max="8452" width="20" style="23" customWidth="1"/>
    <col min="8453" max="8453" width="16.33203125" style="23" customWidth="1"/>
    <col min="8454" max="8454" width="14.77734375" style="23" customWidth="1"/>
    <col min="8455" max="8455" width="19.88671875" style="23" customWidth="1"/>
    <col min="8456" max="8463" width="19.44140625" style="23" customWidth="1"/>
    <col min="8464" max="8468" width="17" style="23" customWidth="1"/>
    <col min="8469" max="8471" width="8.88671875" style="23"/>
    <col min="8472" max="8472" width="23.21875" style="23" customWidth="1"/>
    <col min="8473" max="8473" width="14.5546875" style="23" customWidth="1"/>
    <col min="8474" max="8474" width="24.5546875" style="23" customWidth="1"/>
    <col min="8475" max="8705" width="8.88671875" style="23"/>
    <col min="8706" max="8706" width="20.88671875" style="23" customWidth="1"/>
    <col min="8707" max="8708" width="20" style="23" customWidth="1"/>
    <col min="8709" max="8709" width="16.33203125" style="23" customWidth="1"/>
    <col min="8710" max="8710" width="14.77734375" style="23" customWidth="1"/>
    <col min="8711" max="8711" width="19.88671875" style="23" customWidth="1"/>
    <col min="8712" max="8719" width="19.44140625" style="23" customWidth="1"/>
    <col min="8720" max="8724" width="17" style="23" customWidth="1"/>
    <col min="8725" max="8727" width="8.88671875" style="23"/>
    <col min="8728" max="8728" width="23.21875" style="23" customWidth="1"/>
    <col min="8729" max="8729" width="14.5546875" style="23" customWidth="1"/>
    <col min="8730" max="8730" width="24.5546875" style="23" customWidth="1"/>
    <col min="8731" max="8961" width="8.88671875" style="23"/>
    <col min="8962" max="8962" width="20.88671875" style="23" customWidth="1"/>
    <col min="8963" max="8964" width="20" style="23" customWidth="1"/>
    <col min="8965" max="8965" width="16.33203125" style="23" customWidth="1"/>
    <col min="8966" max="8966" width="14.77734375" style="23" customWidth="1"/>
    <col min="8967" max="8967" width="19.88671875" style="23" customWidth="1"/>
    <col min="8968" max="8975" width="19.44140625" style="23" customWidth="1"/>
    <col min="8976" max="8980" width="17" style="23" customWidth="1"/>
    <col min="8981" max="8983" width="8.88671875" style="23"/>
    <col min="8984" max="8984" width="23.21875" style="23" customWidth="1"/>
    <col min="8985" max="8985" width="14.5546875" style="23" customWidth="1"/>
    <col min="8986" max="8986" width="24.5546875" style="23" customWidth="1"/>
    <col min="8987" max="9217" width="8.88671875" style="23"/>
    <col min="9218" max="9218" width="20.88671875" style="23" customWidth="1"/>
    <col min="9219" max="9220" width="20" style="23" customWidth="1"/>
    <col min="9221" max="9221" width="16.33203125" style="23" customWidth="1"/>
    <col min="9222" max="9222" width="14.77734375" style="23" customWidth="1"/>
    <col min="9223" max="9223" width="19.88671875" style="23" customWidth="1"/>
    <col min="9224" max="9231" width="19.44140625" style="23" customWidth="1"/>
    <col min="9232" max="9236" width="17" style="23" customWidth="1"/>
    <col min="9237" max="9239" width="8.88671875" style="23"/>
    <col min="9240" max="9240" width="23.21875" style="23" customWidth="1"/>
    <col min="9241" max="9241" width="14.5546875" style="23" customWidth="1"/>
    <col min="9242" max="9242" width="24.5546875" style="23" customWidth="1"/>
    <col min="9243" max="9473" width="8.88671875" style="23"/>
    <col min="9474" max="9474" width="20.88671875" style="23" customWidth="1"/>
    <col min="9475" max="9476" width="20" style="23" customWidth="1"/>
    <col min="9477" max="9477" width="16.33203125" style="23" customWidth="1"/>
    <col min="9478" max="9478" width="14.77734375" style="23" customWidth="1"/>
    <col min="9479" max="9479" width="19.88671875" style="23" customWidth="1"/>
    <col min="9480" max="9487" width="19.44140625" style="23" customWidth="1"/>
    <col min="9488" max="9492" width="17" style="23" customWidth="1"/>
    <col min="9493" max="9495" width="8.88671875" style="23"/>
    <col min="9496" max="9496" width="23.21875" style="23" customWidth="1"/>
    <col min="9497" max="9497" width="14.5546875" style="23" customWidth="1"/>
    <col min="9498" max="9498" width="24.5546875" style="23" customWidth="1"/>
    <col min="9499" max="9729" width="8.88671875" style="23"/>
    <col min="9730" max="9730" width="20.88671875" style="23" customWidth="1"/>
    <col min="9731" max="9732" width="20" style="23" customWidth="1"/>
    <col min="9733" max="9733" width="16.33203125" style="23" customWidth="1"/>
    <col min="9734" max="9734" width="14.77734375" style="23" customWidth="1"/>
    <col min="9735" max="9735" width="19.88671875" style="23" customWidth="1"/>
    <col min="9736" max="9743" width="19.44140625" style="23" customWidth="1"/>
    <col min="9744" max="9748" width="17" style="23" customWidth="1"/>
    <col min="9749" max="9751" width="8.88671875" style="23"/>
    <col min="9752" max="9752" width="23.21875" style="23" customWidth="1"/>
    <col min="9753" max="9753" width="14.5546875" style="23" customWidth="1"/>
    <col min="9754" max="9754" width="24.5546875" style="23" customWidth="1"/>
    <col min="9755" max="9985" width="8.88671875" style="23"/>
    <col min="9986" max="9986" width="20.88671875" style="23" customWidth="1"/>
    <col min="9987" max="9988" width="20" style="23" customWidth="1"/>
    <col min="9989" max="9989" width="16.33203125" style="23" customWidth="1"/>
    <col min="9990" max="9990" width="14.77734375" style="23" customWidth="1"/>
    <col min="9991" max="9991" width="19.88671875" style="23" customWidth="1"/>
    <col min="9992" max="9999" width="19.44140625" style="23" customWidth="1"/>
    <col min="10000" max="10004" width="17" style="23" customWidth="1"/>
    <col min="10005" max="10007" width="8.88671875" style="23"/>
    <col min="10008" max="10008" width="23.21875" style="23" customWidth="1"/>
    <col min="10009" max="10009" width="14.5546875" style="23" customWidth="1"/>
    <col min="10010" max="10010" width="24.5546875" style="23" customWidth="1"/>
    <col min="10011" max="10241" width="8.88671875" style="23"/>
    <col min="10242" max="10242" width="20.88671875" style="23" customWidth="1"/>
    <col min="10243" max="10244" width="20" style="23" customWidth="1"/>
    <col min="10245" max="10245" width="16.33203125" style="23" customWidth="1"/>
    <col min="10246" max="10246" width="14.77734375" style="23" customWidth="1"/>
    <col min="10247" max="10247" width="19.88671875" style="23" customWidth="1"/>
    <col min="10248" max="10255" width="19.44140625" style="23" customWidth="1"/>
    <col min="10256" max="10260" width="17" style="23" customWidth="1"/>
    <col min="10261" max="10263" width="8.88671875" style="23"/>
    <col min="10264" max="10264" width="23.21875" style="23" customWidth="1"/>
    <col min="10265" max="10265" width="14.5546875" style="23" customWidth="1"/>
    <col min="10266" max="10266" width="24.5546875" style="23" customWidth="1"/>
    <col min="10267" max="10497" width="8.88671875" style="23"/>
    <col min="10498" max="10498" width="20.88671875" style="23" customWidth="1"/>
    <col min="10499" max="10500" width="20" style="23" customWidth="1"/>
    <col min="10501" max="10501" width="16.33203125" style="23" customWidth="1"/>
    <col min="10502" max="10502" width="14.77734375" style="23" customWidth="1"/>
    <col min="10503" max="10503" width="19.88671875" style="23" customWidth="1"/>
    <col min="10504" max="10511" width="19.44140625" style="23" customWidth="1"/>
    <col min="10512" max="10516" width="17" style="23" customWidth="1"/>
    <col min="10517" max="10519" width="8.88671875" style="23"/>
    <col min="10520" max="10520" width="23.21875" style="23" customWidth="1"/>
    <col min="10521" max="10521" width="14.5546875" style="23" customWidth="1"/>
    <col min="10522" max="10522" width="24.5546875" style="23" customWidth="1"/>
    <col min="10523" max="10753" width="8.88671875" style="23"/>
    <col min="10754" max="10754" width="20.88671875" style="23" customWidth="1"/>
    <col min="10755" max="10756" width="20" style="23" customWidth="1"/>
    <col min="10757" max="10757" width="16.33203125" style="23" customWidth="1"/>
    <col min="10758" max="10758" width="14.77734375" style="23" customWidth="1"/>
    <col min="10759" max="10759" width="19.88671875" style="23" customWidth="1"/>
    <col min="10760" max="10767" width="19.44140625" style="23" customWidth="1"/>
    <col min="10768" max="10772" width="17" style="23" customWidth="1"/>
    <col min="10773" max="10775" width="8.88671875" style="23"/>
    <col min="10776" max="10776" width="23.21875" style="23" customWidth="1"/>
    <col min="10777" max="10777" width="14.5546875" style="23" customWidth="1"/>
    <col min="10778" max="10778" width="24.5546875" style="23" customWidth="1"/>
    <col min="10779" max="11009" width="8.88671875" style="23"/>
    <col min="11010" max="11010" width="20.88671875" style="23" customWidth="1"/>
    <col min="11011" max="11012" width="20" style="23" customWidth="1"/>
    <col min="11013" max="11013" width="16.33203125" style="23" customWidth="1"/>
    <col min="11014" max="11014" width="14.77734375" style="23" customWidth="1"/>
    <col min="11015" max="11015" width="19.88671875" style="23" customWidth="1"/>
    <col min="11016" max="11023" width="19.44140625" style="23" customWidth="1"/>
    <col min="11024" max="11028" width="17" style="23" customWidth="1"/>
    <col min="11029" max="11031" width="8.88671875" style="23"/>
    <col min="11032" max="11032" width="23.21875" style="23" customWidth="1"/>
    <col min="11033" max="11033" width="14.5546875" style="23" customWidth="1"/>
    <col min="11034" max="11034" width="24.5546875" style="23" customWidth="1"/>
    <col min="11035" max="11265" width="8.88671875" style="23"/>
    <col min="11266" max="11266" width="20.88671875" style="23" customWidth="1"/>
    <col min="11267" max="11268" width="20" style="23" customWidth="1"/>
    <col min="11269" max="11269" width="16.33203125" style="23" customWidth="1"/>
    <col min="11270" max="11270" width="14.77734375" style="23" customWidth="1"/>
    <col min="11271" max="11271" width="19.88671875" style="23" customWidth="1"/>
    <col min="11272" max="11279" width="19.44140625" style="23" customWidth="1"/>
    <col min="11280" max="11284" width="17" style="23" customWidth="1"/>
    <col min="11285" max="11287" width="8.88671875" style="23"/>
    <col min="11288" max="11288" width="23.21875" style="23" customWidth="1"/>
    <col min="11289" max="11289" width="14.5546875" style="23" customWidth="1"/>
    <col min="11290" max="11290" width="24.5546875" style="23" customWidth="1"/>
    <col min="11291" max="11521" width="8.88671875" style="23"/>
    <col min="11522" max="11522" width="20.88671875" style="23" customWidth="1"/>
    <col min="11523" max="11524" width="20" style="23" customWidth="1"/>
    <col min="11525" max="11525" width="16.33203125" style="23" customWidth="1"/>
    <col min="11526" max="11526" width="14.77734375" style="23" customWidth="1"/>
    <col min="11527" max="11527" width="19.88671875" style="23" customWidth="1"/>
    <col min="11528" max="11535" width="19.44140625" style="23" customWidth="1"/>
    <col min="11536" max="11540" width="17" style="23" customWidth="1"/>
    <col min="11541" max="11543" width="8.88671875" style="23"/>
    <col min="11544" max="11544" width="23.21875" style="23" customWidth="1"/>
    <col min="11545" max="11545" width="14.5546875" style="23" customWidth="1"/>
    <col min="11546" max="11546" width="24.5546875" style="23" customWidth="1"/>
    <col min="11547" max="11777" width="8.88671875" style="23"/>
    <col min="11778" max="11778" width="20.88671875" style="23" customWidth="1"/>
    <col min="11779" max="11780" width="20" style="23" customWidth="1"/>
    <col min="11781" max="11781" width="16.33203125" style="23" customWidth="1"/>
    <col min="11782" max="11782" width="14.77734375" style="23" customWidth="1"/>
    <col min="11783" max="11783" width="19.88671875" style="23" customWidth="1"/>
    <col min="11784" max="11791" width="19.44140625" style="23" customWidth="1"/>
    <col min="11792" max="11796" width="17" style="23" customWidth="1"/>
    <col min="11797" max="11799" width="8.88671875" style="23"/>
    <col min="11800" max="11800" width="23.21875" style="23" customWidth="1"/>
    <col min="11801" max="11801" width="14.5546875" style="23" customWidth="1"/>
    <col min="11802" max="11802" width="24.5546875" style="23" customWidth="1"/>
    <col min="11803" max="12033" width="8.88671875" style="23"/>
    <col min="12034" max="12034" width="20.88671875" style="23" customWidth="1"/>
    <col min="12035" max="12036" width="20" style="23" customWidth="1"/>
    <col min="12037" max="12037" width="16.33203125" style="23" customWidth="1"/>
    <col min="12038" max="12038" width="14.77734375" style="23" customWidth="1"/>
    <col min="12039" max="12039" width="19.88671875" style="23" customWidth="1"/>
    <col min="12040" max="12047" width="19.44140625" style="23" customWidth="1"/>
    <col min="12048" max="12052" width="17" style="23" customWidth="1"/>
    <col min="12053" max="12055" width="8.88671875" style="23"/>
    <col min="12056" max="12056" width="23.21875" style="23" customWidth="1"/>
    <col min="12057" max="12057" width="14.5546875" style="23" customWidth="1"/>
    <col min="12058" max="12058" width="24.5546875" style="23" customWidth="1"/>
    <col min="12059" max="12289" width="8.88671875" style="23"/>
    <col min="12290" max="12290" width="20.88671875" style="23" customWidth="1"/>
    <col min="12291" max="12292" width="20" style="23" customWidth="1"/>
    <col min="12293" max="12293" width="16.33203125" style="23" customWidth="1"/>
    <col min="12294" max="12294" width="14.77734375" style="23" customWidth="1"/>
    <col min="12295" max="12295" width="19.88671875" style="23" customWidth="1"/>
    <col min="12296" max="12303" width="19.44140625" style="23" customWidth="1"/>
    <col min="12304" max="12308" width="17" style="23" customWidth="1"/>
    <col min="12309" max="12311" width="8.88671875" style="23"/>
    <col min="12312" max="12312" width="23.21875" style="23" customWidth="1"/>
    <col min="12313" max="12313" width="14.5546875" style="23" customWidth="1"/>
    <col min="12314" max="12314" width="24.5546875" style="23" customWidth="1"/>
    <col min="12315" max="12545" width="8.88671875" style="23"/>
    <col min="12546" max="12546" width="20.88671875" style="23" customWidth="1"/>
    <col min="12547" max="12548" width="20" style="23" customWidth="1"/>
    <col min="12549" max="12549" width="16.33203125" style="23" customWidth="1"/>
    <col min="12550" max="12550" width="14.77734375" style="23" customWidth="1"/>
    <col min="12551" max="12551" width="19.88671875" style="23" customWidth="1"/>
    <col min="12552" max="12559" width="19.44140625" style="23" customWidth="1"/>
    <col min="12560" max="12564" width="17" style="23" customWidth="1"/>
    <col min="12565" max="12567" width="8.88671875" style="23"/>
    <col min="12568" max="12568" width="23.21875" style="23" customWidth="1"/>
    <col min="12569" max="12569" width="14.5546875" style="23" customWidth="1"/>
    <col min="12570" max="12570" width="24.5546875" style="23" customWidth="1"/>
    <col min="12571" max="12801" width="8.88671875" style="23"/>
    <col min="12802" max="12802" width="20.88671875" style="23" customWidth="1"/>
    <col min="12803" max="12804" width="20" style="23" customWidth="1"/>
    <col min="12805" max="12805" width="16.33203125" style="23" customWidth="1"/>
    <col min="12806" max="12806" width="14.77734375" style="23" customWidth="1"/>
    <col min="12807" max="12807" width="19.88671875" style="23" customWidth="1"/>
    <col min="12808" max="12815" width="19.44140625" style="23" customWidth="1"/>
    <col min="12816" max="12820" width="17" style="23" customWidth="1"/>
    <col min="12821" max="12823" width="8.88671875" style="23"/>
    <col min="12824" max="12824" width="23.21875" style="23" customWidth="1"/>
    <col min="12825" max="12825" width="14.5546875" style="23" customWidth="1"/>
    <col min="12826" max="12826" width="24.5546875" style="23" customWidth="1"/>
    <col min="12827" max="13057" width="8.88671875" style="23"/>
    <col min="13058" max="13058" width="20.88671875" style="23" customWidth="1"/>
    <col min="13059" max="13060" width="20" style="23" customWidth="1"/>
    <col min="13061" max="13061" width="16.33203125" style="23" customWidth="1"/>
    <col min="13062" max="13062" width="14.77734375" style="23" customWidth="1"/>
    <col min="13063" max="13063" width="19.88671875" style="23" customWidth="1"/>
    <col min="13064" max="13071" width="19.44140625" style="23" customWidth="1"/>
    <col min="13072" max="13076" width="17" style="23" customWidth="1"/>
    <col min="13077" max="13079" width="8.88671875" style="23"/>
    <col min="13080" max="13080" width="23.21875" style="23" customWidth="1"/>
    <col min="13081" max="13081" width="14.5546875" style="23" customWidth="1"/>
    <col min="13082" max="13082" width="24.5546875" style="23" customWidth="1"/>
    <col min="13083" max="13313" width="8.88671875" style="23"/>
    <col min="13314" max="13314" width="20.88671875" style="23" customWidth="1"/>
    <col min="13315" max="13316" width="20" style="23" customWidth="1"/>
    <col min="13317" max="13317" width="16.33203125" style="23" customWidth="1"/>
    <col min="13318" max="13318" width="14.77734375" style="23" customWidth="1"/>
    <col min="13319" max="13319" width="19.88671875" style="23" customWidth="1"/>
    <col min="13320" max="13327" width="19.44140625" style="23" customWidth="1"/>
    <col min="13328" max="13332" width="17" style="23" customWidth="1"/>
    <col min="13333" max="13335" width="8.88671875" style="23"/>
    <col min="13336" max="13336" width="23.21875" style="23" customWidth="1"/>
    <col min="13337" max="13337" width="14.5546875" style="23" customWidth="1"/>
    <col min="13338" max="13338" width="24.5546875" style="23" customWidth="1"/>
    <col min="13339" max="13569" width="8.88671875" style="23"/>
    <col min="13570" max="13570" width="20.88671875" style="23" customWidth="1"/>
    <col min="13571" max="13572" width="20" style="23" customWidth="1"/>
    <col min="13573" max="13573" width="16.33203125" style="23" customWidth="1"/>
    <col min="13574" max="13574" width="14.77734375" style="23" customWidth="1"/>
    <col min="13575" max="13575" width="19.88671875" style="23" customWidth="1"/>
    <col min="13576" max="13583" width="19.44140625" style="23" customWidth="1"/>
    <col min="13584" max="13588" width="17" style="23" customWidth="1"/>
    <col min="13589" max="13591" width="8.88671875" style="23"/>
    <col min="13592" max="13592" width="23.21875" style="23" customWidth="1"/>
    <col min="13593" max="13593" width="14.5546875" style="23" customWidth="1"/>
    <col min="13594" max="13594" width="24.5546875" style="23" customWidth="1"/>
    <col min="13595" max="13825" width="8.88671875" style="23"/>
    <col min="13826" max="13826" width="20.88671875" style="23" customWidth="1"/>
    <col min="13827" max="13828" width="20" style="23" customWidth="1"/>
    <col min="13829" max="13829" width="16.33203125" style="23" customWidth="1"/>
    <col min="13830" max="13830" width="14.77734375" style="23" customWidth="1"/>
    <col min="13831" max="13831" width="19.88671875" style="23" customWidth="1"/>
    <col min="13832" max="13839" width="19.44140625" style="23" customWidth="1"/>
    <col min="13840" max="13844" width="17" style="23" customWidth="1"/>
    <col min="13845" max="13847" width="8.88671875" style="23"/>
    <col min="13848" max="13848" width="23.21875" style="23" customWidth="1"/>
    <col min="13849" max="13849" width="14.5546875" style="23" customWidth="1"/>
    <col min="13850" max="13850" width="24.5546875" style="23" customWidth="1"/>
    <col min="13851" max="14081" width="8.88671875" style="23"/>
    <col min="14082" max="14082" width="20.88671875" style="23" customWidth="1"/>
    <col min="14083" max="14084" width="20" style="23" customWidth="1"/>
    <col min="14085" max="14085" width="16.33203125" style="23" customWidth="1"/>
    <col min="14086" max="14086" width="14.77734375" style="23" customWidth="1"/>
    <col min="14087" max="14087" width="19.88671875" style="23" customWidth="1"/>
    <col min="14088" max="14095" width="19.44140625" style="23" customWidth="1"/>
    <col min="14096" max="14100" width="17" style="23" customWidth="1"/>
    <col min="14101" max="14103" width="8.88671875" style="23"/>
    <col min="14104" max="14104" width="23.21875" style="23" customWidth="1"/>
    <col min="14105" max="14105" width="14.5546875" style="23" customWidth="1"/>
    <col min="14106" max="14106" width="24.5546875" style="23" customWidth="1"/>
    <col min="14107" max="14337" width="8.88671875" style="23"/>
    <col min="14338" max="14338" width="20.88671875" style="23" customWidth="1"/>
    <col min="14339" max="14340" width="20" style="23" customWidth="1"/>
    <col min="14341" max="14341" width="16.33203125" style="23" customWidth="1"/>
    <col min="14342" max="14342" width="14.77734375" style="23" customWidth="1"/>
    <col min="14343" max="14343" width="19.88671875" style="23" customWidth="1"/>
    <col min="14344" max="14351" width="19.44140625" style="23" customWidth="1"/>
    <col min="14352" max="14356" width="17" style="23" customWidth="1"/>
    <col min="14357" max="14359" width="8.88671875" style="23"/>
    <col min="14360" max="14360" width="23.21875" style="23" customWidth="1"/>
    <col min="14361" max="14361" width="14.5546875" style="23" customWidth="1"/>
    <col min="14362" max="14362" width="24.5546875" style="23" customWidth="1"/>
    <col min="14363" max="14593" width="8.88671875" style="23"/>
    <col min="14594" max="14594" width="20.88671875" style="23" customWidth="1"/>
    <col min="14595" max="14596" width="20" style="23" customWidth="1"/>
    <col min="14597" max="14597" width="16.33203125" style="23" customWidth="1"/>
    <col min="14598" max="14598" width="14.77734375" style="23" customWidth="1"/>
    <col min="14599" max="14599" width="19.88671875" style="23" customWidth="1"/>
    <col min="14600" max="14607" width="19.44140625" style="23" customWidth="1"/>
    <col min="14608" max="14612" width="17" style="23" customWidth="1"/>
    <col min="14613" max="14615" width="8.88671875" style="23"/>
    <col min="14616" max="14616" width="23.21875" style="23" customWidth="1"/>
    <col min="14617" max="14617" width="14.5546875" style="23" customWidth="1"/>
    <col min="14618" max="14618" width="24.5546875" style="23" customWidth="1"/>
    <col min="14619" max="14849" width="8.88671875" style="23"/>
    <col min="14850" max="14850" width="20.88671875" style="23" customWidth="1"/>
    <col min="14851" max="14852" width="20" style="23" customWidth="1"/>
    <col min="14853" max="14853" width="16.33203125" style="23" customWidth="1"/>
    <col min="14854" max="14854" width="14.77734375" style="23" customWidth="1"/>
    <col min="14855" max="14855" width="19.88671875" style="23" customWidth="1"/>
    <col min="14856" max="14863" width="19.44140625" style="23" customWidth="1"/>
    <col min="14864" max="14868" width="17" style="23" customWidth="1"/>
    <col min="14869" max="14871" width="8.88671875" style="23"/>
    <col min="14872" max="14872" width="23.21875" style="23" customWidth="1"/>
    <col min="14873" max="14873" width="14.5546875" style="23" customWidth="1"/>
    <col min="14874" max="14874" width="24.5546875" style="23" customWidth="1"/>
    <col min="14875" max="15105" width="8.88671875" style="23"/>
    <col min="15106" max="15106" width="20.88671875" style="23" customWidth="1"/>
    <col min="15107" max="15108" width="20" style="23" customWidth="1"/>
    <col min="15109" max="15109" width="16.33203125" style="23" customWidth="1"/>
    <col min="15110" max="15110" width="14.77734375" style="23" customWidth="1"/>
    <col min="15111" max="15111" width="19.88671875" style="23" customWidth="1"/>
    <col min="15112" max="15119" width="19.44140625" style="23" customWidth="1"/>
    <col min="15120" max="15124" width="17" style="23" customWidth="1"/>
    <col min="15125" max="15127" width="8.88671875" style="23"/>
    <col min="15128" max="15128" width="23.21875" style="23" customWidth="1"/>
    <col min="15129" max="15129" width="14.5546875" style="23" customWidth="1"/>
    <col min="15130" max="15130" width="24.5546875" style="23" customWidth="1"/>
    <col min="15131" max="15361" width="8.88671875" style="23"/>
    <col min="15362" max="15362" width="20.88671875" style="23" customWidth="1"/>
    <col min="15363" max="15364" width="20" style="23" customWidth="1"/>
    <col min="15365" max="15365" width="16.33203125" style="23" customWidth="1"/>
    <col min="15366" max="15366" width="14.77734375" style="23" customWidth="1"/>
    <col min="15367" max="15367" width="19.88671875" style="23" customWidth="1"/>
    <col min="15368" max="15375" width="19.44140625" style="23" customWidth="1"/>
    <col min="15376" max="15380" width="17" style="23" customWidth="1"/>
    <col min="15381" max="15383" width="8.88671875" style="23"/>
    <col min="15384" max="15384" width="23.21875" style="23" customWidth="1"/>
    <col min="15385" max="15385" width="14.5546875" style="23" customWidth="1"/>
    <col min="15386" max="15386" width="24.5546875" style="23" customWidth="1"/>
    <col min="15387" max="15617" width="8.88671875" style="23"/>
    <col min="15618" max="15618" width="20.88671875" style="23" customWidth="1"/>
    <col min="15619" max="15620" width="20" style="23" customWidth="1"/>
    <col min="15621" max="15621" width="16.33203125" style="23" customWidth="1"/>
    <col min="15622" max="15622" width="14.77734375" style="23" customWidth="1"/>
    <col min="15623" max="15623" width="19.88671875" style="23" customWidth="1"/>
    <col min="15624" max="15631" width="19.44140625" style="23" customWidth="1"/>
    <col min="15632" max="15636" width="17" style="23" customWidth="1"/>
    <col min="15637" max="15639" width="8.88671875" style="23"/>
    <col min="15640" max="15640" width="23.21875" style="23" customWidth="1"/>
    <col min="15641" max="15641" width="14.5546875" style="23" customWidth="1"/>
    <col min="15642" max="15642" width="24.5546875" style="23" customWidth="1"/>
    <col min="15643" max="15873" width="8.88671875" style="23"/>
    <col min="15874" max="15874" width="20.88671875" style="23" customWidth="1"/>
    <col min="15875" max="15876" width="20" style="23" customWidth="1"/>
    <col min="15877" max="15877" width="16.33203125" style="23" customWidth="1"/>
    <col min="15878" max="15878" width="14.77734375" style="23" customWidth="1"/>
    <col min="15879" max="15879" width="19.88671875" style="23" customWidth="1"/>
    <col min="15880" max="15887" width="19.44140625" style="23" customWidth="1"/>
    <col min="15888" max="15892" width="17" style="23" customWidth="1"/>
    <col min="15893" max="15895" width="8.88671875" style="23"/>
    <col min="15896" max="15896" width="23.21875" style="23" customWidth="1"/>
    <col min="15897" max="15897" width="14.5546875" style="23" customWidth="1"/>
    <col min="15898" max="15898" width="24.5546875" style="23" customWidth="1"/>
    <col min="15899" max="16129" width="8.88671875" style="23"/>
    <col min="16130" max="16130" width="20.88671875" style="23" customWidth="1"/>
    <col min="16131" max="16132" width="20" style="23" customWidth="1"/>
    <col min="16133" max="16133" width="16.33203125" style="23" customWidth="1"/>
    <col min="16134" max="16134" width="14.77734375" style="23" customWidth="1"/>
    <col min="16135" max="16135" width="19.88671875" style="23" customWidth="1"/>
    <col min="16136" max="16143" width="19.44140625" style="23" customWidth="1"/>
    <col min="16144" max="16148" width="17" style="23" customWidth="1"/>
    <col min="16149" max="16151" width="8.88671875" style="23"/>
    <col min="16152" max="16152" width="23.21875" style="23" customWidth="1"/>
    <col min="16153" max="16153" width="14.5546875" style="23" customWidth="1"/>
    <col min="16154" max="16154" width="24.5546875" style="23" customWidth="1"/>
    <col min="16155" max="16384" width="8.88671875" style="23"/>
  </cols>
  <sheetData>
    <row r="1" spans="1:26" ht="14.4" thickBot="1">
      <c r="U1" s="24"/>
      <c r="V1" s="24"/>
      <c r="W1" s="24"/>
      <c r="X1" s="24"/>
      <c r="Y1" s="24"/>
      <c r="Z1" s="24"/>
    </row>
    <row r="2" spans="1:26" ht="14.4" thickBot="1">
      <c r="A2" s="463"/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4"/>
      <c r="V2" s="464"/>
      <c r="W2" s="464"/>
      <c r="X2" s="464"/>
      <c r="Y2" s="464"/>
      <c r="Z2" s="464"/>
    </row>
    <row r="3" spans="1:26">
      <c r="U3" s="24"/>
      <c r="V3" s="24"/>
      <c r="W3" s="24"/>
      <c r="X3" s="24"/>
      <c r="Y3" s="24"/>
      <c r="Z3" s="24"/>
    </row>
    <row r="4" spans="1:26" ht="14.4" thickBot="1">
      <c r="U4" s="24"/>
      <c r="V4" s="24"/>
      <c r="W4" s="24"/>
      <c r="X4" s="24"/>
      <c r="Y4" s="24"/>
      <c r="Z4" s="24"/>
    </row>
    <row r="5" spans="1:26" ht="14.4" thickBot="1">
      <c r="A5" s="769" t="s">
        <v>232</v>
      </c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  <c r="N5" s="770"/>
      <c r="O5" s="770"/>
      <c r="P5" s="771"/>
      <c r="Q5" s="772" t="s">
        <v>238</v>
      </c>
      <c r="R5" s="774" t="s">
        <v>239</v>
      </c>
      <c r="S5" s="386"/>
      <c r="T5" s="386"/>
      <c r="U5" s="24"/>
      <c r="V5" s="24"/>
      <c r="W5" s="24"/>
      <c r="X5" s="24"/>
      <c r="Y5" s="24"/>
      <c r="Z5" s="24"/>
    </row>
    <row r="6" spans="1:26" ht="80.400000000000006" customHeight="1" thickBot="1">
      <c r="A6" s="387" t="s">
        <v>240</v>
      </c>
      <c r="B6" s="388" t="s">
        <v>534</v>
      </c>
      <c r="C6" s="388" t="s">
        <v>48</v>
      </c>
      <c r="D6" s="388" t="s">
        <v>241</v>
      </c>
      <c r="E6" s="388" t="s">
        <v>242</v>
      </c>
      <c r="F6" s="388" t="s">
        <v>256</v>
      </c>
      <c r="G6" s="388" t="s">
        <v>243</v>
      </c>
      <c r="H6" s="388" t="s">
        <v>244</v>
      </c>
      <c r="I6" s="388" t="s">
        <v>245</v>
      </c>
      <c r="J6" s="389" t="s">
        <v>246</v>
      </c>
      <c r="K6" s="389" t="s">
        <v>247</v>
      </c>
      <c r="L6" s="388" t="s">
        <v>248</v>
      </c>
      <c r="M6" s="390" t="s">
        <v>249</v>
      </c>
      <c r="N6" s="390" t="str">
        <f>M6</f>
        <v>Zużycie paliw MWh</v>
      </c>
      <c r="O6" s="390" t="s">
        <v>250</v>
      </c>
      <c r="P6" s="391" t="s">
        <v>251</v>
      </c>
      <c r="Q6" s="773"/>
      <c r="R6" s="775"/>
      <c r="S6" s="392"/>
      <c r="T6" s="392"/>
      <c r="U6" s="24"/>
      <c r="V6" s="465"/>
      <c r="W6" s="466"/>
      <c r="X6" s="466"/>
      <c r="Y6" s="466"/>
      <c r="Z6" s="466"/>
    </row>
    <row r="7" spans="1:26" ht="14.4">
      <c r="A7" s="776" t="s">
        <v>31</v>
      </c>
      <c r="B7" s="776">
        <v>224</v>
      </c>
      <c r="C7" s="393" t="s">
        <v>32</v>
      </c>
      <c r="D7" s="394">
        <v>224</v>
      </c>
      <c r="E7" s="395">
        <v>5000</v>
      </c>
      <c r="F7" s="395">
        <v>4250</v>
      </c>
      <c r="G7" s="395">
        <f>D7*F7</f>
        <v>952000</v>
      </c>
      <c r="H7" s="396">
        <v>0.04</v>
      </c>
      <c r="I7" s="395">
        <f>G7*H7</f>
        <v>38080</v>
      </c>
      <c r="J7" s="397">
        <f>'[3]Wskaźniki emisji'!C12</f>
        <v>4.48E-2</v>
      </c>
      <c r="K7" s="397">
        <v>0.72</v>
      </c>
      <c r="L7" s="395">
        <f>I7*J7*K7</f>
        <v>1228.3084799999999</v>
      </c>
      <c r="M7" s="395">
        <f>L7/'[3]Wskaźniki emisji'!$E$26</f>
        <v>341.1968</v>
      </c>
      <c r="N7" s="782">
        <f>SUM(M7:M9)</f>
        <v>341.1968</v>
      </c>
      <c r="O7" s="398">
        <f>'[3]Wskaźniki emisji'!G12</f>
        <v>6.8610000000000004E-2</v>
      </c>
      <c r="P7" s="399">
        <f>L7*O7</f>
        <v>84.274244812800006</v>
      </c>
      <c r="Q7" s="778">
        <f>P7+P8+P9</f>
        <v>84.274244812800006</v>
      </c>
      <c r="R7" s="780">
        <f>Q7/Q22</f>
        <v>1.1334092451929567E-2</v>
      </c>
      <c r="S7" s="400" t="str">
        <f>A7</f>
        <v>Motocykle</v>
      </c>
      <c r="T7" s="401">
        <f>R7</f>
        <v>1.1334092451929567E-2</v>
      </c>
      <c r="U7" s="173"/>
      <c r="V7" s="445"/>
      <c r="W7" s="445"/>
      <c r="X7" s="445"/>
      <c r="Y7" s="445"/>
      <c r="Z7" s="445"/>
    </row>
    <row r="8" spans="1:26" ht="14.4">
      <c r="A8" s="776"/>
      <c r="B8" s="776"/>
      <c r="C8" s="93" t="s">
        <v>33</v>
      </c>
      <c r="D8" s="394">
        <v>0</v>
      </c>
      <c r="E8" s="395">
        <v>5000</v>
      </c>
      <c r="F8" s="395">
        <v>4250</v>
      </c>
      <c r="G8" s="402">
        <f>D8*F8</f>
        <v>0</v>
      </c>
      <c r="H8" s="396">
        <f>H7</f>
        <v>0.04</v>
      </c>
      <c r="I8" s="395">
        <f t="shared" ref="I8:I21" si="0">G8*H8</f>
        <v>0</v>
      </c>
      <c r="J8" s="397">
        <f>'[3]Wskaźniki emisji'!C14</f>
        <v>4.333E-2</v>
      </c>
      <c r="K8" s="397">
        <v>0.82</v>
      </c>
      <c r="L8" s="395">
        <f t="shared" ref="L8:L21" si="1">I8*J8*K8</f>
        <v>0</v>
      </c>
      <c r="M8" s="395">
        <f>L8/'[3]Wskaźniki emisji'!$E$26</f>
        <v>0</v>
      </c>
      <c r="N8" s="783"/>
      <c r="O8" s="403">
        <f>'[3]Wskaźniki emisji'!G14</f>
        <v>7.3330000000000006E-2</v>
      </c>
      <c r="P8" s="399">
        <f t="shared" ref="P8:P20" si="2">L8*O8</f>
        <v>0</v>
      </c>
      <c r="Q8" s="779"/>
      <c r="R8" s="781"/>
      <c r="S8" s="400" t="str">
        <f>A10</f>
        <v>Samochody osobowe</v>
      </c>
      <c r="T8" s="401">
        <f>R10</f>
        <v>0.6388743390592071</v>
      </c>
      <c r="U8" s="173"/>
      <c r="V8" s="445"/>
      <c r="W8" s="445"/>
      <c r="X8" s="445"/>
      <c r="Y8" s="445"/>
      <c r="Z8" s="445"/>
    </row>
    <row r="9" spans="1:26" ht="14.4">
      <c r="A9" s="777"/>
      <c r="B9" s="777"/>
      <c r="C9" s="93" t="s">
        <v>34</v>
      </c>
      <c r="D9" s="394">
        <v>0</v>
      </c>
      <c r="E9" s="395">
        <v>5000</v>
      </c>
      <c r="F9" s="395">
        <v>4250</v>
      </c>
      <c r="G9" s="402">
        <f t="shared" ref="G9:G21" si="3">D9*F9</f>
        <v>0</v>
      </c>
      <c r="H9" s="396">
        <v>0</v>
      </c>
      <c r="I9" s="395">
        <f t="shared" si="0"/>
        <v>0</v>
      </c>
      <c r="J9" s="397">
        <f>'[3]Wskaźniki emisji'!C11</f>
        <v>4.7309999999999998E-2</v>
      </c>
      <c r="K9" s="397">
        <v>0.56200000000000006</v>
      </c>
      <c r="L9" s="395">
        <f t="shared" si="1"/>
        <v>0</v>
      </c>
      <c r="M9" s="395">
        <f>L9/'[3]Wskaźniki emisji'!$E$26</f>
        <v>0</v>
      </c>
      <c r="N9" s="784"/>
      <c r="O9" s="403">
        <f>'[3]Wskaźniki emisji'!G11</f>
        <v>6.2440000000000002E-2</v>
      </c>
      <c r="P9" s="399">
        <f t="shared" si="2"/>
        <v>0</v>
      </c>
      <c r="Q9" s="779"/>
      <c r="R9" s="781"/>
      <c r="S9" s="400" t="str">
        <f>A13</f>
        <v>Samochody ciężarowe</v>
      </c>
      <c r="T9" s="401">
        <f>R13</f>
        <v>0.27896376880386292</v>
      </c>
      <c r="U9" s="173"/>
      <c r="V9" s="445"/>
      <c r="W9" s="445"/>
      <c r="X9" s="445"/>
      <c r="Y9" s="445"/>
      <c r="Z9" s="445"/>
    </row>
    <row r="10" spans="1:26" ht="27.6">
      <c r="A10" s="788" t="s">
        <v>252</v>
      </c>
      <c r="B10" s="788">
        <v>6240</v>
      </c>
      <c r="C10" s="92" t="s">
        <v>32</v>
      </c>
      <c r="D10" s="278">
        <v>3450</v>
      </c>
      <c r="E10" s="402">
        <f>9328</f>
        <v>9328</v>
      </c>
      <c r="F10" s="405">
        <f>F7</f>
        <v>4250</v>
      </c>
      <c r="G10" s="402">
        <f t="shared" si="3"/>
        <v>14662500</v>
      </c>
      <c r="H10" s="406">
        <v>0.08</v>
      </c>
      <c r="I10" s="395">
        <f t="shared" si="0"/>
        <v>1173000</v>
      </c>
      <c r="J10" s="397">
        <f t="shared" ref="J10:K21" si="4">J7</f>
        <v>4.48E-2</v>
      </c>
      <c r="K10" s="397">
        <f t="shared" si="4"/>
        <v>0.72</v>
      </c>
      <c r="L10" s="395">
        <f t="shared" si="1"/>
        <v>37836.288</v>
      </c>
      <c r="M10" s="395">
        <f>L10/'[3]Wskaźniki emisji'!$E$26</f>
        <v>10510.08</v>
      </c>
      <c r="N10" s="789">
        <f>SUM(M10:M12)</f>
        <v>18950.556563516664</v>
      </c>
      <c r="O10" s="398">
        <f t="shared" ref="O10:O18" si="5">O7</f>
        <v>6.8610000000000004E-2</v>
      </c>
      <c r="P10" s="399">
        <f t="shared" si="2"/>
        <v>2595.9477196800003</v>
      </c>
      <c r="Q10" s="779">
        <f>P10+P11+P12</f>
        <v>4750.3276228636496</v>
      </c>
      <c r="R10" s="781">
        <f>Q10/Q22</f>
        <v>0.6388743390592071</v>
      </c>
      <c r="S10" s="407" t="str">
        <f>A16</f>
        <v>Ciągniki samochdowe</v>
      </c>
      <c r="T10" s="408">
        <f>R16</f>
        <v>4.3389455566425997E-2</v>
      </c>
      <c r="U10" s="173"/>
      <c r="V10" s="445"/>
      <c r="W10" s="445"/>
      <c r="X10" s="445"/>
      <c r="Y10" s="445"/>
      <c r="Z10" s="445"/>
    </row>
    <row r="11" spans="1:26" ht="14.4">
      <c r="A11" s="776"/>
      <c r="B11" s="776"/>
      <c r="C11" s="93" t="s">
        <v>33</v>
      </c>
      <c r="D11" s="278">
        <v>2202</v>
      </c>
      <c r="E11" s="402">
        <f>9328</f>
        <v>9328</v>
      </c>
      <c r="F11" s="405">
        <f>F8</f>
        <v>4250</v>
      </c>
      <c r="G11" s="402">
        <f t="shared" si="3"/>
        <v>9358500</v>
      </c>
      <c r="H11" s="406">
        <v>7.0999999999999994E-2</v>
      </c>
      <c r="I11" s="395">
        <f t="shared" si="0"/>
        <v>664453.49999999988</v>
      </c>
      <c r="J11" s="397">
        <f t="shared" si="4"/>
        <v>4.333E-2</v>
      </c>
      <c r="K11" s="397">
        <f t="shared" si="4"/>
        <v>0.82</v>
      </c>
      <c r="L11" s="395">
        <f t="shared" si="1"/>
        <v>23608.431527099994</v>
      </c>
      <c r="M11" s="395">
        <f>L11/'[3]Wskaźniki emisji'!$E$26</f>
        <v>6557.8976464166644</v>
      </c>
      <c r="N11" s="783"/>
      <c r="O11" s="403">
        <f t="shared" si="5"/>
        <v>7.3330000000000006E-2</v>
      </c>
      <c r="P11" s="399">
        <f t="shared" si="2"/>
        <v>1731.2062838822428</v>
      </c>
      <c r="Q11" s="779"/>
      <c r="R11" s="781"/>
      <c r="S11" s="407" t="str">
        <f>A19</f>
        <v>Ciągniki siodłowe</v>
      </c>
      <c r="T11" s="408">
        <f>R19</f>
        <v>2.743834411857447E-2</v>
      </c>
      <c r="U11" s="173"/>
      <c r="V11" s="445"/>
      <c r="W11" s="445"/>
      <c r="X11" s="445"/>
      <c r="Y11" s="445"/>
      <c r="Z11" s="445"/>
    </row>
    <row r="12" spans="1:26" ht="14.4">
      <c r="A12" s="777"/>
      <c r="B12" s="777"/>
      <c r="C12" s="93" t="s">
        <v>34</v>
      </c>
      <c r="D12" s="278">
        <v>588</v>
      </c>
      <c r="E12" s="402">
        <f>9328</f>
        <v>9328</v>
      </c>
      <c r="F12" s="405">
        <f>F9</f>
        <v>4250</v>
      </c>
      <c r="G12" s="402">
        <f t="shared" si="3"/>
        <v>2499000</v>
      </c>
      <c r="H12" s="406">
        <v>0.10199999999999999</v>
      </c>
      <c r="I12" s="395">
        <f t="shared" si="0"/>
        <v>254897.99999999997</v>
      </c>
      <c r="J12" s="397">
        <f t="shared" si="4"/>
        <v>4.7309999999999998E-2</v>
      </c>
      <c r="K12" s="397">
        <f t="shared" si="4"/>
        <v>0.56200000000000006</v>
      </c>
      <c r="L12" s="395">
        <f t="shared" si="1"/>
        <v>6777.2841015599997</v>
      </c>
      <c r="M12" s="395">
        <f>L12/'[3]Wskaźniki emisji'!$E$26</f>
        <v>1882.5789170999999</v>
      </c>
      <c r="N12" s="784"/>
      <c r="O12" s="403">
        <f t="shared" si="5"/>
        <v>6.2440000000000002E-2</v>
      </c>
      <c r="P12" s="399">
        <f t="shared" si="2"/>
        <v>423.1736193014064</v>
      </c>
      <c r="Q12" s="779"/>
      <c r="R12" s="781"/>
      <c r="S12" s="407"/>
      <c r="T12" s="408"/>
      <c r="U12" s="173"/>
      <c r="V12" s="445"/>
      <c r="W12" s="445"/>
      <c r="X12" s="445"/>
      <c r="Y12" s="445"/>
      <c r="Z12" s="445"/>
    </row>
    <row r="13" spans="1:26" ht="14.4">
      <c r="A13" s="785" t="s">
        <v>253</v>
      </c>
      <c r="B13" s="785">
        <v>1464</v>
      </c>
      <c r="C13" s="443" t="s">
        <v>32</v>
      </c>
      <c r="D13" s="278">
        <v>754</v>
      </c>
      <c r="E13" s="402">
        <f>E15</f>
        <v>18541</v>
      </c>
      <c r="F13" s="405">
        <f>F15</f>
        <v>2134</v>
      </c>
      <c r="G13" s="402">
        <f t="shared" si="3"/>
        <v>1609036</v>
      </c>
      <c r="H13" s="406">
        <v>0.32100000000000001</v>
      </c>
      <c r="I13" s="395">
        <f t="shared" si="0"/>
        <v>516500.55600000004</v>
      </c>
      <c r="J13" s="397">
        <f t="shared" si="4"/>
        <v>4.48E-2</v>
      </c>
      <c r="K13" s="397">
        <f t="shared" si="4"/>
        <v>0.72</v>
      </c>
      <c r="L13" s="395">
        <f t="shared" si="1"/>
        <v>16660.241934336002</v>
      </c>
      <c r="M13" s="395">
        <f>L13/'[3]Wskaźniki emisji'!$E$26</f>
        <v>4627.8449817600003</v>
      </c>
      <c r="N13" s="789">
        <f>SUM(M13:M15)</f>
        <v>8303.9134252978438</v>
      </c>
      <c r="O13" s="398">
        <f t="shared" si="5"/>
        <v>6.8610000000000004E-2</v>
      </c>
      <c r="P13" s="399">
        <f t="shared" si="2"/>
        <v>1143.059199114793</v>
      </c>
      <c r="Q13" s="779">
        <f>P13+P14+P15</f>
        <v>2074.225267332783</v>
      </c>
      <c r="R13" s="781">
        <f>Q13/Q22</f>
        <v>0.27896376880386292</v>
      </c>
      <c r="S13" s="796"/>
      <c r="T13" s="408"/>
      <c r="U13" s="173"/>
      <c r="V13" s="445"/>
      <c r="W13" s="445"/>
      <c r="X13" s="445"/>
      <c r="Y13" s="445"/>
      <c r="Z13" s="445"/>
    </row>
    <row r="14" spans="1:26" ht="14.4">
      <c r="A14" s="786"/>
      <c r="B14" s="786"/>
      <c r="C14" s="444" t="s">
        <v>33</v>
      </c>
      <c r="D14" s="278">
        <v>512</v>
      </c>
      <c r="E14" s="402">
        <f>E15</f>
        <v>18541</v>
      </c>
      <c r="F14" s="405">
        <f>F15</f>
        <v>2134</v>
      </c>
      <c r="G14" s="402">
        <f t="shared" si="3"/>
        <v>1092608</v>
      </c>
      <c r="H14" s="406">
        <v>0.248</v>
      </c>
      <c r="I14" s="395">
        <f t="shared" si="0"/>
        <v>270966.78399999999</v>
      </c>
      <c r="J14" s="397">
        <f t="shared" si="4"/>
        <v>4.333E-2</v>
      </c>
      <c r="K14" s="397">
        <f t="shared" si="4"/>
        <v>0.82</v>
      </c>
      <c r="L14" s="395">
        <f t="shared" si="1"/>
        <v>9627.6124155903981</v>
      </c>
      <c r="M14" s="395">
        <f>L14/'[3]Wskaźniki emisji'!$E$26</f>
        <v>2674.3367821084439</v>
      </c>
      <c r="N14" s="783"/>
      <c r="O14" s="403">
        <f t="shared" si="5"/>
        <v>7.3330000000000006E-2</v>
      </c>
      <c r="P14" s="399">
        <f t="shared" si="2"/>
        <v>705.99281843524398</v>
      </c>
      <c r="Q14" s="779"/>
      <c r="R14" s="781"/>
      <c r="S14" s="796"/>
      <c r="T14" s="408"/>
      <c r="U14" s="173"/>
      <c r="V14" s="445"/>
      <c r="W14" s="445"/>
      <c r="X14" s="445"/>
      <c r="Y14" s="445"/>
      <c r="Z14" s="445"/>
    </row>
    <row r="15" spans="1:26" ht="15.6" customHeight="1">
      <c r="A15" s="787"/>
      <c r="B15" s="787"/>
      <c r="C15" s="444" t="s">
        <v>34</v>
      </c>
      <c r="D15" s="278">
        <v>198</v>
      </c>
      <c r="E15" s="402">
        <v>18541</v>
      </c>
      <c r="F15" s="405">
        <f>9.7*220</f>
        <v>2134</v>
      </c>
      <c r="G15" s="402">
        <f t="shared" si="3"/>
        <v>422532</v>
      </c>
      <c r="H15" s="406">
        <v>0.32100000000000001</v>
      </c>
      <c r="I15" s="395">
        <f t="shared" si="0"/>
        <v>135632.772</v>
      </c>
      <c r="J15" s="397">
        <f>J9</f>
        <v>4.7309999999999998E-2</v>
      </c>
      <c r="K15" s="397">
        <f t="shared" si="4"/>
        <v>0.56200000000000006</v>
      </c>
      <c r="L15" s="395">
        <f t="shared" si="1"/>
        <v>3606.2339811458401</v>
      </c>
      <c r="M15" s="395">
        <f>L15/'[3]Wskaźniki emisji'!$E$26</f>
        <v>1001.7316614294</v>
      </c>
      <c r="N15" s="784"/>
      <c r="O15" s="403">
        <f t="shared" si="5"/>
        <v>6.2440000000000002E-2</v>
      </c>
      <c r="P15" s="399">
        <f t="shared" si="2"/>
        <v>225.17324978274627</v>
      </c>
      <c r="Q15" s="779"/>
      <c r="R15" s="781"/>
      <c r="S15" s="796"/>
      <c r="T15" s="408"/>
      <c r="U15" s="173"/>
      <c r="V15" s="445"/>
      <c r="W15" s="445"/>
      <c r="X15" s="445"/>
      <c r="Y15" s="445"/>
      <c r="Z15" s="445"/>
    </row>
    <row r="16" spans="1:26" ht="14.4">
      <c r="A16" s="797" t="s">
        <v>254</v>
      </c>
      <c r="B16" s="788">
        <v>141</v>
      </c>
      <c r="C16" s="92" t="s">
        <v>32</v>
      </c>
      <c r="D16" s="278">
        <v>2</v>
      </c>
      <c r="E16" s="402">
        <v>13881</v>
      </c>
      <c r="F16" s="405">
        <v>3540.5</v>
      </c>
      <c r="G16" s="402">
        <f t="shared" si="3"/>
        <v>7081</v>
      </c>
      <c r="H16" s="406">
        <v>0.32100000000000001</v>
      </c>
      <c r="I16" s="395">
        <f t="shared" si="0"/>
        <v>2273.0010000000002</v>
      </c>
      <c r="J16" s="397">
        <f>J7</f>
        <v>4.48E-2</v>
      </c>
      <c r="K16" s="397">
        <f t="shared" si="4"/>
        <v>0.72</v>
      </c>
      <c r="L16" s="395">
        <f t="shared" si="1"/>
        <v>73.317920256000008</v>
      </c>
      <c r="M16" s="395">
        <f>L16/'[3]Wskaźniki emisji'!$E$26</f>
        <v>20.366088960000003</v>
      </c>
      <c r="N16" s="789">
        <f>SUM(M16:M18)</f>
        <v>1224.6613349398081</v>
      </c>
      <c r="O16" s="398">
        <f t="shared" si="5"/>
        <v>6.8610000000000004E-2</v>
      </c>
      <c r="P16" s="399">
        <f t="shared" si="2"/>
        <v>5.0303425087641607</v>
      </c>
      <c r="Q16" s="779">
        <f>P16+P17+P18</f>
        <v>322.62076705370214</v>
      </c>
      <c r="R16" s="781">
        <f>Q16/Q22</f>
        <v>4.3389455566425997E-2</v>
      </c>
      <c r="S16" s="796"/>
      <c r="T16" s="408"/>
      <c r="U16" s="173"/>
    </row>
    <row r="17" spans="1:21" ht="14.4">
      <c r="A17" s="798"/>
      <c r="B17" s="776"/>
      <c r="C17" s="93" t="s">
        <v>33</v>
      </c>
      <c r="D17" s="404">
        <v>138</v>
      </c>
      <c r="E17" s="402">
        <v>13881</v>
      </c>
      <c r="F17" s="405">
        <v>3540.5</v>
      </c>
      <c r="G17" s="402">
        <f t="shared" si="3"/>
        <v>488589</v>
      </c>
      <c r="H17" s="406">
        <v>0.248</v>
      </c>
      <c r="I17" s="395">
        <f t="shared" si="0"/>
        <v>121170.072</v>
      </c>
      <c r="J17" s="397">
        <f>J8</f>
        <v>4.333E-2</v>
      </c>
      <c r="K17" s="397">
        <f t="shared" si="4"/>
        <v>0.82</v>
      </c>
      <c r="L17" s="395">
        <f t="shared" si="1"/>
        <v>4305.2453602031992</v>
      </c>
      <c r="M17" s="395">
        <f>L17/'[3]Wskaźniki emisji'!$E$26</f>
        <v>1195.9014889453331</v>
      </c>
      <c r="N17" s="783"/>
      <c r="O17" s="403">
        <f t="shared" si="5"/>
        <v>7.3330000000000006E-2</v>
      </c>
      <c r="P17" s="399">
        <f t="shared" si="2"/>
        <v>315.7036422637006</v>
      </c>
      <c r="Q17" s="779"/>
      <c r="R17" s="781"/>
      <c r="S17" s="796"/>
      <c r="T17" s="408"/>
      <c r="U17" s="173"/>
    </row>
    <row r="18" spans="1:21" ht="14.4">
      <c r="A18" s="799"/>
      <c r="B18" s="777"/>
      <c r="C18" s="93" t="s">
        <v>34</v>
      </c>
      <c r="D18" s="404">
        <v>1</v>
      </c>
      <c r="E18" s="402">
        <v>13881</v>
      </c>
      <c r="F18" s="405">
        <v>3540.5</v>
      </c>
      <c r="G18" s="402">
        <f t="shared" si="3"/>
        <v>3540.5</v>
      </c>
      <c r="H18" s="406">
        <v>0.32100000000000001</v>
      </c>
      <c r="I18" s="395">
        <f t="shared" si="0"/>
        <v>1136.5005000000001</v>
      </c>
      <c r="J18" s="397">
        <f>J9</f>
        <v>4.7309999999999998E-2</v>
      </c>
      <c r="K18" s="397">
        <f t="shared" si="4"/>
        <v>0.56200000000000006</v>
      </c>
      <c r="L18" s="395">
        <f t="shared" si="1"/>
        <v>30.217525324110007</v>
      </c>
      <c r="M18" s="395">
        <f>L18/'[3]Wskaźniki emisji'!$E$26</f>
        <v>8.3937570344750014</v>
      </c>
      <c r="N18" s="784"/>
      <c r="O18" s="403">
        <f t="shared" si="5"/>
        <v>6.2440000000000002E-2</v>
      </c>
      <c r="P18" s="399">
        <f t="shared" si="2"/>
        <v>1.8867822812374289</v>
      </c>
      <c r="Q18" s="779"/>
      <c r="R18" s="781"/>
      <c r="S18" s="796"/>
      <c r="T18" s="408"/>
      <c r="U18" s="173"/>
    </row>
    <row r="19" spans="1:21" ht="14.4">
      <c r="A19" s="797" t="s">
        <v>255</v>
      </c>
      <c r="B19" s="788">
        <v>338</v>
      </c>
      <c r="C19" s="92" t="s">
        <v>32</v>
      </c>
      <c r="D19" s="404">
        <v>44</v>
      </c>
      <c r="E19" s="402">
        <f>E21</f>
        <v>18541</v>
      </c>
      <c r="F19" s="405">
        <v>850</v>
      </c>
      <c r="G19" s="409">
        <f t="shared" si="3"/>
        <v>37400</v>
      </c>
      <c r="H19" s="406">
        <v>0.27800000000000002</v>
      </c>
      <c r="I19" s="410">
        <f t="shared" si="0"/>
        <v>10397.200000000001</v>
      </c>
      <c r="J19" s="411">
        <f>J7</f>
        <v>4.48E-2</v>
      </c>
      <c r="K19" s="397">
        <f t="shared" si="4"/>
        <v>0.72</v>
      </c>
      <c r="L19" s="395">
        <f t="shared" si="1"/>
        <v>335.37208320000002</v>
      </c>
      <c r="M19" s="395">
        <f>L19/'[3]Wskaźniki emisji'!$E$26</f>
        <v>93.158912000000001</v>
      </c>
      <c r="N19" s="789">
        <f>SUM(M19:M21)</f>
        <v>778.8225090333334</v>
      </c>
      <c r="O19" s="398">
        <f>O16</f>
        <v>6.8610000000000004E-2</v>
      </c>
      <c r="P19" s="399">
        <f t="shared" si="2"/>
        <v>23.009878628352002</v>
      </c>
      <c r="Q19" s="800">
        <f>P19+P20+P21</f>
        <v>204.01684028198764</v>
      </c>
      <c r="R19" s="781">
        <f>Q19/Q22</f>
        <v>2.743834411857447E-2</v>
      </c>
      <c r="S19" s="802"/>
      <c r="T19" s="401"/>
      <c r="U19" s="173"/>
    </row>
    <row r="20" spans="1:21" ht="14.4">
      <c r="A20" s="798"/>
      <c r="B20" s="776"/>
      <c r="C20" s="93" t="s">
        <v>33</v>
      </c>
      <c r="D20" s="404">
        <v>294</v>
      </c>
      <c r="E20" s="402">
        <f>E21</f>
        <v>18541</v>
      </c>
      <c r="F20" s="405">
        <v>850</v>
      </c>
      <c r="G20" s="409">
        <f t="shared" si="3"/>
        <v>249900</v>
      </c>
      <c r="H20" s="412">
        <v>0.27800000000000002</v>
      </c>
      <c r="I20" s="410">
        <f t="shared" si="0"/>
        <v>69472.200000000012</v>
      </c>
      <c r="J20" s="411">
        <f>J8</f>
        <v>4.333E-2</v>
      </c>
      <c r="K20" s="397">
        <f t="shared" si="4"/>
        <v>0.82</v>
      </c>
      <c r="L20" s="395">
        <f t="shared" si="1"/>
        <v>2468.3889493200004</v>
      </c>
      <c r="M20" s="395">
        <f>L20/'[3]Wskaźniki emisji'!$E$26</f>
        <v>685.66359703333342</v>
      </c>
      <c r="N20" s="783"/>
      <c r="O20" s="403">
        <f>O17</f>
        <v>7.3330000000000006E-2</v>
      </c>
      <c r="P20" s="399">
        <f t="shared" si="2"/>
        <v>181.00696165363564</v>
      </c>
      <c r="Q20" s="801"/>
      <c r="R20" s="781"/>
      <c r="S20" s="802"/>
      <c r="T20" s="401"/>
      <c r="U20" s="173"/>
    </row>
    <row r="21" spans="1:21" ht="15" thickBot="1">
      <c r="A21" s="799"/>
      <c r="B21" s="777"/>
      <c r="C21" s="93" t="s">
        <v>34</v>
      </c>
      <c r="D21" s="404">
        <v>0</v>
      </c>
      <c r="E21" s="402">
        <v>18541</v>
      </c>
      <c r="F21" s="405">
        <v>850</v>
      </c>
      <c r="G21" s="409">
        <f t="shared" si="3"/>
        <v>0</v>
      </c>
      <c r="H21" s="412">
        <v>0.27800000000000002</v>
      </c>
      <c r="I21" s="410">
        <f t="shared" si="0"/>
        <v>0</v>
      </c>
      <c r="J21" s="411">
        <f>J9</f>
        <v>4.7309999999999998E-2</v>
      </c>
      <c r="K21" s="397">
        <f t="shared" si="4"/>
        <v>0.56200000000000006</v>
      </c>
      <c r="L21" s="413">
        <f t="shared" si="1"/>
        <v>0</v>
      </c>
      <c r="M21" s="413">
        <f>L21/'[3]Wskaźniki emisji'!$E$26</f>
        <v>0</v>
      </c>
      <c r="N21" s="784"/>
      <c r="O21" s="414">
        <f>O18</f>
        <v>6.2440000000000002E-2</v>
      </c>
      <c r="P21" s="399">
        <f>L21*O21</f>
        <v>0</v>
      </c>
      <c r="Q21" s="778"/>
      <c r="R21" s="781"/>
      <c r="S21" s="802"/>
      <c r="T21" s="401"/>
      <c r="U21" s="173"/>
    </row>
    <row r="22" spans="1:21" ht="14.4">
      <c r="A22" s="793" t="s">
        <v>71</v>
      </c>
      <c r="B22" s="794">
        <f>B7+B10+B13+B16+B19</f>
        <v>8407</v>
      </c>
      <c r="C22" s="92" t="s">
        <v>32</v>
      </c>
      <c r="D22" s="404">
        <f>D7+D10+D13+D16+D19</f>
        <v>4474</v>
      </c>
      <c r="E22" s="415"/>
      <c r="F22" s="416"/>
      <c r="G22" s="417"/>
      <c r="H22" s="417"/>
      <c r="I22" s="417"/>
      <c r="J22" s="417"/>
      <c r="K22" s="401">
        <f>M22/M25</f>
        <v>0.52679372378502209</v>
      </c>
      <c r="L22" s="418">
        <f t="shared" ref="L22:M24" si="6">L7+L10+L13+L16+L19</f>
        <v>56133.528417792004</v>
      </c>
      <c r="M22" s="419">
        <f t="shared" si="6"/>
        <v>15592.646782720001</v>
      </c>
      <c r="N22" s="790">
        <f>SUM(M22:M24)</f>
        <v>29599.150632787652</v>
      </c>
      <c r="O22" s="419">
        <f>M22+M23+M24</f>
        <v>29599.150632787652</v>
      </c>
      <c r="P22" s="420">
        <f>P7+P10+P13+P16+P19</f>
        <v>3851.3213847447096</v>
      </c>
      <c r="Q22" s="421">
        <f>P22+P23+P24</f>
        <v>7435.4647423449223</v>
      </c>
      <c r="R22" s="795"/>
      <c r="S22" s="422"/>
      <c r="T22" s="422"/>
      <c r="U22" s="173"/>
    </row>
    <row r="23" spans="1:21" ht="14.4">
      <c r="A23" s="793"/>
      <c r="B23" s="794"/>
      <c r="C23" s="93" t="s">
        <v>33</v>
      </c>
      <c r="D23" s="404">
        <f>D8+D11+D14+D17+D20</f>
        <v>3146</v>
      </c>
      <c r="E23" s="415"/>
      <c r="F23" s="416"/>
      <c r="G23" s="417"/>
      <c r="H23" s="417"/>
      <c r="I23" s="417"/>
      <c r="J23" s="417"/>
      <c r="K23" s="401">
        <f>M23/M25</f>
        <v>0.37547697406535607</v>
      </c>
      <c r="L23" s="423">
        <f t="shared" si="6"/>
        <v>40009.678252213591</v>
      </c>
      <c r="M23" s="424">
        <f t="shared" si="6"/>
        <v>11113.799514503777</v>
      </c>
      <c r="N23" s="791"/>
      <c r="O23" s="425"/>
      <c r="P23" s="426">
        <f>P8+P11+P14+P17+P20</f>
        <v>2933.9097062348233</v>
      </c>
      <c r="Q23" s="421"/>
      <c r="R23" s="795"/>
      <c r="S23" s="422"/>
      <c r="T23" s="422"/>
      <c r="U23" s="173"/>
    </row>
    <row r="24" spans="1:21" ht="14.4">
      <c r="A24" s="793"/>
      <c r="B24" s="794"/>
      <c r="C24" s="93" t="s">
        <v>34</v>
      </c>
      <c r="D24" s="427">
        <f>D9+D12+D15+D18+D21</f>
        <v>787</v>
      </c>
      <c r="K24" s="173">
        <f>M24/M25</f>
        <v>9.7729302149621847E-2</v>
      </c>
      <c r="L24" s="428">
        <f t="shared" si="6"/>
        <v>10413.735608029949</v>
      </c>
      <c r="M24" s="429">
        <f t="shared" si="6"/>
        <v>2892.7043355638752</v>
      </c>
      <c r="N24" s="792"/>
      <c r="O24" s="283"/>
      <c r="P24" s="430">
        <f>P9+P12+P15+P18+P21</f>
        <v>650.23365136539007</v>
      </c>
      <c r="Q24" s="421"/>
      <c r="R24" s="795"/>
      <c r="S24" s="422"/>
      <c r="T24" s="422"/>
    </row>
    <row r="25" spans="1:21">
      <c r="M25" s="235">
        <f>SUM(M22:M24)</f>
        <v>29599.150632787652</v>
      </c>
      <c r="N25" s="235"/>
    </row>
    <row r="26" spans="1:21" ht="15" customHeight="1">
      <c r="M26" s="235"/>
      <c r="N26" s="235"/>
      <c r="Q26" s="23">
        <f>Q22*0.01</f>
        <v>74.354647423449222</v>
      </c>
    </row>
    <row r="27" spans="1:21" ht="15" customHeight="1">
      <c r="M27" s="235"/>
      <c r="N27" s="235">
        <f>0.01*N22</f>
        <v>295.99150632787655</v>
      </c>
    </row>
    <row r="28" spans="1:21" ht="15" customHeight="1" thickBot="1">
      <c r="M28" s="235"/>
      <c r="N28" s="235"/>
    </row>
    <row r="29" spans="1:21" ht="15" customHeight="1" thickBot="1">
      <c r="A29" s="769" t="s">
        <v>284</v>
      </c>
      <c r="B29" s="770"/>
      <c r="C29" s="770"/>
      <c r="D29" s="770"/>
      <c r="E29" s="770"/>
      <c r="F29" s="770"/>
      <c r="G29" s="770"/>
      <c r="H29" s="770"/>
      <c r="I29" s="770"/>
      <c r="J29" s="770"/>
      <c r="K29" s="770"/>
      <c r="L29" s="770"/>
      <c r="M29" s="770"/>
      <c r="N29" s="770"/>
      <c r="O29" s="770"/>
      <c r="P29" s="771"/>
      <c r="Q29" s="772" t="s">
        <v>238</v>
      </c>
      <c r="R29" s="774" t="s">
        <v>239</v>
      </c>
    </row>
    <row r="30" spans="1:21" ht="69.599999999999994" customHeight="1" thickBot="1">
      <c r="A30" s="387" t="s">
        <v>240</v>
      </c>
      <c r="B30" s="388" t="s">
        <v>534</v>
      </c>
      <c r="C30" s="388" t="s">
        <v>48</v>
      </c>
      <c r="D30" s="388" t="s">
        <v>241</v>
      </c>
      <c r="E30" s="388" t="s">
        <v>242</v>
      </c>
      <c r="F30" s="388" t="s">
        <v>256</v>
      </c>
      <c r="G30" s="388" t="s">
        <v>243</v>
      </c>
      <c r="H30" s="388" t="s">
        <v>244</v>
      </c>
      <c r="I30" s="388" t="s">
        <v>245</v>
      </c>
      <c r="J30" s="389" t="s">
        <v>246</v>
      </c>
      <c r="K30" s="389" t="s">
        <v>247</v>
      </c>
      <c r="L30" s="388" t="s">
        <v>248</v>
      </c>
      <c r="M30" s="390" t="s">
        <v>249</v>
      </c>
      <c r="N30" s="390" t="str">
        <f>M30</f>
        <v>Zużycie paliw MWh</v>
      </c>
      <c r="O30" s="390" t="s">
        <v>250</v>
      </c>
      <c r="P30" s="391" t="s">
        <v>251</v>
      </c>
      <c r="Q30" s="773"/>
      <c r="R30" s="775"/>
    </row>
    <row r="31" spans="1:21" ht="15" customHeight="1">
      <c r="A31" s="776" t="s">
        <v>31</v>
      </c>
      <c r="B31" s="776">
        <f>SUM(D31:D33)</f>
        <v>226</v>
      </c>
      <c r="C31" s="393" t="s">
        <v>32</v>
      </c>
      <c r="D31" s="480">
        <v>226</v>
      </c>
      <c r="E31" s="478">
        <v>5000</v>
      </c>
      <c r="F31" s="478">
        <v>4250</v>
      </c>
      <c r="G31" s="478">
        <f>D31*F31</f>
        <v>960500</v>
      </c>
      <c r="H31" s="396">
        <v>0.04</v>
      </c>
      <c r="I31" s="478">
        <f>G31*H31</f>
        <v>38420</v>
      </c>
      <c r="J31" s="397">
        <f>J7</f>
        <v>4.48E-2</v>
      </c>
      <c r="K31" s="397">
        <v>0.72</v>
      </c>
      <c r="L31" s="478">
        <f>I31*J31*K31</f>
        <v>1239.2755199999999</v>
      </c>
      <c r="M31" s="478">
        <f>L31/'[3]Wskaźniki emisji'!$E$26</f>
        <v>344.24319999999994</v>
      </c>
      <c r="N31" s="782">
        <f>SUM(M31:M33)</f>
        <v>344.24319999999994</v>
      </c>
      <c r="O31" s="398">
        <f>O7</f>
        <v>6.8610000000000004E-2</v>
      </c>
      <c r="P31" s="479">
        <f>L31*O31</f>
        <v>85.026693427200001</v>
      </c>
      <c r="Q31" s="778">
        <f>P31+P32+P33</f>
        <v>85.026693427200001</v>
      </c>
      <c r="R31" s="780">
        <f>Q31/Q46</f>
        <v>1.1378778812472552E-2</v>
      </c>
    </row>
    <row r="32" spans="1:21" ht="15" customHeight="1">
      <c r="A32" s="776"/>
      <c r="B32" s="776"/>
      <c r="C32" s="93" t="s">
        <v>33</v>
      </c>
      <c r="D32" s="480">
        <v>0</v>
      </c>
      <c r="E32" s="478">
        <v>5000</v>
      </c>
      <c r="F32" s="478">
        <v>4250</v>
      </c>
      <c r="G32" s="402">
        <f>D32*F32</f>
        <v>0</v>
      </c>
      <c r="H32" s="396">
        <f>H31</f>
        <v>0.04</v>
      </c>
      <c r="I32" s="478">
        <f t="shared" ref="I32:I45" si="7">G32*H32</f>
        <v>0</v>
      </c>
      <c r="J32" s="397">
        <f>J8</f>
        <v>4.333E-2</v>
      </c>
      <c r="K32" s="397">
        <v>0.82</v>
      </c>
      <c r="L32" s="478">
        <f t="shared" ref="L32:L45" si="8">I32*J32*K32</f>
        <v>0</v>
      </c>
      <c r="M32" s="478">
        <f>L32/'[3]Wskaźniki emisji'!$E$26</f>
        <v>0</v>
      </c>
      <c r="N32" s="783"/>
      <c r="O32" s="403">
        <f>O8</f>
        <v>7.3330000000000006E-2</v>
      </c>
      <c r="P32" s="479">
        <f t="shared" ref="P32:P44" si="9">L32*O32</f>
        <v>0</v>
      </c>
      <c r="Q32" s="779"/>
      <c r="R32" s="781"/>
    </row>
    <row r="33" spans="1:18" ht="15" customHeight="1">
      <c r="A33" s="777"/>
      <c r="B33" s="777"/>
      <c r="C33" s="93" t="s">
        <v>34</v>
      </c>
      <c r="D33" s="480">
        <v>0</v>
      </c>
      <c r="E33" s="478">
        <v>5000</v>
      </c>
      <c r="F33" s="478">
        <v>4250</v>
      </c>
      <c r="G33" s="402">
        <f t="shared" ref="G33:G45" si="10">D33*F33</f>
        <v>0</v>
      </c>
      <c r="H33" s="396">
        <v>0</v>
      </c>
      <c r="I33" s="478">
        <f t="shared" si="7"/>
        <v>0</v>
      </c>
      <c r="J33" s="397">
        <f>J9</f>
        <v>4.7309999999999998E-2</v>
      </c>
      <c r="K33" s="397">
        <v>0.56200000000000006</v>
      </c>
      <c r="L33" s="478">
        <f t="shared" si="8"/>
        <v>0</v>
      </c>
      <c r="M33" s="478">
        <f>L33/'[3]Wskaźniki emisji'!$E$26</f>
        <v>0</v>
      </c>
      <c r="N33" s="784"/>
      <c r="O33" s="403">
        <f>O9</f>
        <v>6.2440000000000002E-2</v>
      </c>
      <c r="P33" s="479">
        <f t="shared" si="9"/>
        <v>0</v>
      </c>
      <c r="Q33" s="779"/>
      <c r="R33" s="781"/>
    </row>
    <row r="34" spans="1:18" ht="15" customHeight="1">
      <c r="A34" s="788" t="s">
        <v>252</v>
      </c>
      <c r="B34" s="788">
        <f>SUM(D34:D36)</f>
        <v>6245</v>
      </c>
      <c r="C34" s="92" t="s">
        <v>32</v>
      </c>
      <c r="D34" s="404">
        <v>3455</v>
      </c>
      <c r="E34" s="402">
        <f>9328</f>
        <v>9328</v>
      </c>
      <c r="F34" s="405">
        <f>F31</f>
        <v>4250</v>
      </c>
      <c r="G34" s="402">
        <f t="shared" si="10"/>
        <v>14683750</v>
      </c>
      <c r="H34" s="406">
        <v>0.08</v>
      </c>
      <c r="I34" s="478">
        <f t="shared" si="7"/>
        <v>1174700</v>
      </c>
      <c r="J34" s="397">
        <f t="shared" ref="J34:K38" si="11">J31</f>
        <v>4.48E-2</v>
      </c>
      <c r="K34" s="397">
        <f t="shared" si="11"/>
        <v>0.72</v>
      </c>
      <c r="L34" s="478">
        <f t="shared" si="8"/>
        <v>37891.123199999995</v>
      </c>
      <c r="M34" s="478">
        <f>L34/'[3]Wskaźniki emisji'!$E$26</f>
        <v>10525.311999999998</v>
      </c>
      <c r="N34" s="789">
        <f>SUM(M34:M36)</f>
        <v>18966.235582861103</v>
      </c>
      <c r="O34" s="398">
        <f t="shared" ref="O34:O42" si="12">O31</f>
        <v>6.8610000000000004E-2</v>
      </c>
      <c r="P34" s="479">
        <f t="shared" si="9"/>
        <v>2599.7099627519997</v>
      </c>
      <c r="Q34" s="779">
        <f>P34+P35+P36</f>
        <v>4753.9568375427516</v>
      </c>
      <c r="R34" s="781">
        <f>Q34/Q46</f>
        <v>0.63620283416943701</v>
      </c>
    </row>
    <row r="35" spans="1:18" ht="15" customHeight="1">
      <c r="A35" s="776"/>
      <c r="B35" s="776"/>
      <c r="C35" s="93" t="s">
        <v>33</v>
      </c>
      <c r="D35" s="404">
        <v>2200</v>
      </c>
      <c r="E35" s="402">
        <f>9328</f>
        <v>9328</v>
      </c>
      <c r="F35" s="405">
        <f>F32</f>
        <v>4250</v>
      </c>
      <c r="G35" s="402">
        <f t="shared" si="10"/>
        <v>9350000</v>
      </c>
      <c r="H35" s="406">
        <v>7.0999999999999994E-2</v>
      </c>
      <c r="I35" s="478">
        <f t="shared" si="7"/>
        <v>663849.99999999988</v>
      </c>
      <c r="J35" s="397">
        <f t="shared" si="11"/>
        <v>4.333E-2</v>
      </c>
      <c r="K35" s="397">
        <f t="shared" si="11"/>
        <v>0.82</v>
      </c>
      <c r="L35" s="478">
        <f t="shared" si="8"/>
        <v>23586.988809999992</v>
      </c>
      <c r="M35" s="478">
        <f>L35/'[3]Wskaźniki emisji'!$E$26</f>
        <v>6551.9413361111083</v>
      </c>
      <c r="N35" s="783"/>
      <c r="O35" s="403">
        <f t="shared" si="12"/>
        <v>7.3330000000000006E-2</v>
      </c>
      <c r="P35" s="479">
        <f t="shared" si="9"/>
        <v>1729.6338894372996</v>
      </c>
      <c r="Q35" s="779"/>
      <c r="R35" s="781"/>
    </row>
    <row r="36" spans="1:18" ht="15" customHeight="1">
      <c r="A36" s="777"/>
      <c r="B36" s="777"/>
      <c r="C36" s="93" t="s">
        <v>34</v>
      </c>
      <c r="D36" s="404">
        <v>590</v>
      </c>
      <c r="E36" s="402">
        <f>9328</f>
        <v>9328</v>
      </c>
      <c r="F36" s="405">
        <f>F33</f>
        <v>4250</v>
      </c>
      <c r="G36" s="402">
        <f t="shared" si="10"/>
        <v>2507500</v>
      </c>
      <c r="H36" s="406">
        <v>0.10199999999999999</v>
      </c>
      <c r="I36" s="478">
        <f t="shared" si="7"/>
        <v>255764.99999999997</v>
      </c>
      <c r="J36" s="397">
        <f t="shared" si="11"/>
        <v>4.7309999999999998E-2</v>
      </c>
      <c r="K36" s="397">
        <f t="shared" si="11"/>
        <v>0.56200000000000006</v>
      </c>
      <c r="L36" s="478">
        <f t="shared" si="8"/>
        <v>6800.3360882999996</v>
      </c>
      <c r="M36" s="478">
        <f>L36/'[3]Wskaźniki emisji'!$E$26</f>
        <v>1888.9822467499998</v>
      </c>
      <c r="N36" s="784"/>
      <c r="O36" s="403">
        <f t="shared" si="12"/>
        <v>6.2440000000000002E-2</v>
      </c>
      <c r="P36" s="479">
        <f t="shared" si="9"/>
        <v>424.61298535345202</v>
      </c>
      <c r="Q36" s="779"/>
      <c r="R36" s="781"/>
    </row>
    <row r="37" spans="1:18" ht="15" customHeight="1">
      <c r="A37" s="785" t="s">
        <v>253</v>
      </c>
      <c r="B37" s="785">
        <f>SUM(D37:D39)</f>
        <v>1488</v>
      </c>
      <c r="C37" s="443" t="s">
        <v>32</v>
      </c>
      <c r="D37" s="278">
        <v>764</v>
      </c>
      <c r="E37" s="402">
        <f>E39</f>
        <v>18541</v>
      </c>
      <c r="F37" s="405">
        <f>F39</f>
        <v>2134</v>
      </c>
      <c r="G37" s="402">
        <f t="shared" si="10"/>
        <v>1630376</v>
      </c>
      <c r="H37" s="406">
        <v>0.32100000000000001</v>
      </c>
      <c r="I37" s="478">
        <f t="shared" si="7"/>
        <v>523350.696</v>
      </c>
      <c r="J37" s="397">
        <f t="shared" si="11"/>
        <v>4.48E-2</v>
      </c>
      <c r="K37" s="397">
        <f t="shared" si="11"/>
        <v>0.72</v>
      </c>
      <c r="L37" s="478">
        <f t="shared" si="8"/>
        <v>16881.200050175998</v>
      </c>
      <c r="M37" s="478">
        <f>L37/'[3]Wskaźniki emisji'!$E$26</f>
        <v>4689.2222361599988</v>
      </c>
      <c r="N37" s="789">
        <f>SUM(M37:M39)</f>
        <v>8437.2686335978324</v>
      </c>
      <c r="O37" s="398">
        <f t="shared" si="12"/>
        <v>6.8610000000000004E-2</v>
      </c>
      <c r="P37" s="479">
        <f t="shared" si="9"/>
        <v>1158.2191354425752</v>
      </c>
      <c r="Q37" s="779">
        <f>P37+P38+P39</f>
        <v>2106.9981196719746</v>
      </c>
      <c r="R37" s="781">
        <f>Q37/Q46</f>
        <v>0.28197104457049671</v>
      </c>
    </row>
    <row r="38" spans="1:18" ht="15" customHeight="1">
      <c r="A38" s="786"/>
      <c r="B38" s="786"/>
      <c r="C38" s="444" t="s">
        <v>33</v>
      </c>
      <c r="D38" s="278">
        <v>519</v>
      </c>
      <c r="E38" s="402">
        <f>E39</f>
        <v>18541</v>
      </c>
      <c r="F38" s="405">
        <f>F39</f>
        <v>2134</v>
      </c>
      <c r="G38" s="402">
        <f t="shared" si="10"/>
        <v>1107546</v>
      </c>
      <c r="H38" s="406">
        <v>0.248</v>
      </c>
      <c r="I38" s="478">
        <f t="shared" si="7"/>
        <v>274671.408</v>
      </c>
      <c r="J38" s="397">
        <f t="shared" si="11"/>
        <v>4.333E-2</v>
      </c>
      <c r="K38" s="397">
        <f t="shared" si="11"/>
        <v>0.82</v>
      </c>
      <c r="L38" s="478">
        <f t="shared" si="8"/>
        <v>9759.2399290847989</v>
      </c>
      <c r="M38" s="478">
        <f>L38/'[3]Wskaźniki emisji'!$E$26</f>
        <v>2710.899980301333</v>
      </c>
      <c r="N38" s="783"/>
      <c r="O38" s="403">
        <f t="shared" si="12"/>
        <v>7.3330000000000006E-2</v>
      </c>
      <c r="P38" s="479">
        <f t="shared" si="9"/>
        <v>715.64506399978836</v>
      </c>
      <c r="Q38" s="779"/>
      <c r="R38" s="781"/>
    </row>
    <row r="39" spans="1:18" ht="15" customHeight="1">
      <c r="A39" s="787"/>
      <c r="B39" s="787"/>
      <c r="C39" s="444" t="s">
        <v>34</v>
      </c>
      <c r="D39" s="278">
        <v>205</v>
      </c>
      <c r="E39" s="402">
        <v>18541</v>
      </c>
      <c r="F39" s="405">
        <f>9.7*220</f>
        <v>2134</v>
      </c>
      <c r="G39" s="402">
        <f t="shared" si="10"/>
        <v>437470</v>
      </c>
      <c r="H39" s="406">
        <v>0.32100000000000001</v>
      </c>
      <c r="I39" s="478">
        <f t="shared" si="7"/>
        <v>140427.87</v>
      </c>
      <c r="J39" s="397">
        <f>J33</f>
        <v>4.7309999999999998E-2</v>
      </c>
      <c r="K39" s="397">
        <f t="shared" ref="K39:K45" si="13">K36</f>
        <v>0.56200000000000006</v>
      </c>
      <c r="L39" s="478">
        <f t="shared" si="8"/>
        <v>3733.7271016914001</v>
      </c>
      <c r="M39" s="478">
        <f>L39/'[3]Wskaźniki emisji'!$E$26</f>
        <v>1037.1464171365001</v>
      </c>
      <c r="N39" s="784"/>
      <c r="O39" s="403">
        <f t="shared" si="12"/>
        <v>6.2440000000000002E-2</v>
      </c>
      <c r="P39" s="479">
        <f t="shared" si="9"/>
        <v>233.13392022961102</v>
      </c>
      <c r="Q39" s="779"/>
      <c r="R39" s="781"/>
    </row>
    <row r="40" spans="1:18" ht="15" customHeight="1">
      <c r="A40" s="797" t="s">
        <v>254</v>
      </c>
      <c r="B40" s="788">
        <v>141</v>
      </c>
      <c r="C40" s="92" t="s">
        <v>32</v>
      </c>
      <c r="D40" s="404">
        <v>1</v>
      </c>
      <c r="E40" s="402">
        <v>13881</v>
      </c>
      <c r="F40" s="405">
        <v>3540.5</v>
      </c>
      <c r="G40" s="402">
        <f t="shared" si="10"/>
        <v>3540.5</v>
      </c>
      <c r="H40" s="406">
        <v>0.32100000000000001</v>
      </c>
      <c r="I40" s="478">
        <f t="shared" si="7"/>
        <v>1136.5005000000001</v>
      </c>
      <c r="J40" s="397">
        <f>J31</f>
        <v>4.48E-2</v>
      </c>
      <c r="K40" s="397">
        <f t="shared" si="13"/>
        <v>0.72</v>
      </c>
      <c r="L40" s="478">
        <f t="shared" si="8"/>
        <v>36.658960128000004</v>
      </c>
      <c r="M40" s="478">
        <f>L40/'[3]Wskaźniki emisji'!$E$26</f>
        <v>10.183044480000001</v>
      </c>
      <c r="N40" s="789">
        <f>SUM(M40:M42)</f>
        <v>1223.1442432782526</v>
      </c>
      <c r="O40" s="398">
        <f t="shared" si="12"/>
        <v>6.8610000000000004E-2</v>
      </c>
      <c r="P40" s="479">
        <f t="shared" si="9"/>
        <v>2.5151712543820803</v>
      </c>
      <c r="Q40" s="779">
        <f>P40+P41+P42</f>
        <v>322.39330335195569</v>
      </c>
      <c r="R40" s="781">
        <f>Q40/Q46</f>
        <v>4.3144593087172042E-2</v>
      </c>
    </row>
    <row r="41" spans="1:18" ht="15" customHeight="1">
      <c r="A41" s="798"/>
      <c r="B41" s="776"/>
      <c r="C41" s="93" t="s">
        <v>33</v>
      </c>
      <c r="D41" s="404">
        <v>139</v>
      </c>
      <c r="E41" s="402">
        <v>13881</v>
      </c>
      <c r="F41" s="405">
        <v>3540.5</v>
      </c>
      <c r="G41" s="402">
        <f t="shared" si="10"/>
        <v>492129.5</v>
      </c>
      <c r="H41" s="406">
        <v>0.248</v>
      </c>
      <c r="I41" s="478">
        <f t="shared" si="7"/>
        <v>122048.11599999999</v>
      </c>
      <c r="J41" s="397">
        <f>J32</f>
        <v>4.333E-2</v>
      </c>
      <c r="K41" s="397">
        <f t="shared" si="13"/>
        <v>0.82</v>
      </c>
      <c r="L41" s="478">
        <f t="shared" si="8"/>
        <v>4336.4427903495998</v>
      </c>
      <c r="M41" s="478">
        <f>L41/'[3]Wskaźniki emisji'!$E$26</f>
        <v>1204.5674417637777</v>
      </c>
      <c r="N41" s="783"/>
      <c r="O41" s="403">
        <f t="shared" si="12"/>
        <v>7.3330000000000006E-2</v>
      </c>
      <c r="P41" s="479">
        <f t="shared" si="9"/>
        <v>317.9913498163362</v>
      </c>
      <c r="Q41" s="779"/>
      <c r="R41" s="781"/>
    </row>
    <row r="42" spans="1:18" ht="15" customHeight="1">
      <c r="A42" s="799"/>
      <c r="B42" s="777"/>
      <c r="C42" s="93" t="s">
        <v>34</v>
      </c>
      <c r="D42" s="404">
        <v>1</v>
      </c>
      <c r="E42" s="402">
        <v>13881</v>
      </c>
      <c r="F42" s="405">
        <v>3540.5</v>
      </c>
      <c r="G42" s="402">
        <f t="shared" si="10"/>
        <v>3540.5</v>
      </c>
      <c r="H42" s="406">
        <v>0.32100000000000001</v>
      </c>
      <c r="I42" s="478">
        <f t="shared" si="7"/>
        <v>1136.5005000000001</v>
      </c>
      <c r="J42" s="397">
        <f>J33</f>
        <v>4.7309999999999998E-2</v>
      </c>
      <c r="K42" s="397">
        <f t="shared" si="13"/>
        <v>0.56200000000000006</v>
      </c>
      <c r="L42" s="478">
        <f t="shared" si="8"/>
        <v>30.217525324110007</v>
      </c>
      <c r="M42" s="478">
        <f>L42/'[3]Wskaźniki emisji'!$E$26</f>
        <v>8.3937570344750014</v>
      </c>
      <c r="N42" s="784"/>
      <c r="O42" s="403">
        <f t="shared" si="12"/>
        <v>6.2440000000000002E-2</v>
      </c>
      <c r="P42" s="479">
        <f t="shared" si="9"/>
        <v>1.8867822812374289</v>
      </c>
      <c r="Q42" s="779"/>
      <c r="R42" s="781"/>
    </row>
    <row r="43" spans="1:18" ht="15" customHeight="1">
      <c r="A43" s="797" t="s">
        <v>255</v>
      </c>
      <c r="B43" s="788">
        <v>338</v>
      </c>
      <c r="C43" s="92" t="s">
        <v>32</v>
      </c>
      <c r="D43" s="278">
        <v>44</v>
      </c>
      <c r="E43" s="402">
        <f>E45</f>
        <v>18541</v>
      </c>
      <c r="F43" s="405">
        <v>850</v>
      </c>
      <c r="G43" s="409">
        <f t="shared" si="10"/>
        <v>37400</v>
      </c>
      <c r="H43" s="406">
        <v>0.27800000000000002</v>
      </c>
      <c r="I43" s="410">
        <f t="shared" si="7"/>
        <v>10397.200000000001</v>
      </c>
      <c r="J43" s="411">
        <f>J31</f>
        <v>4.48E-2</v>
      </c>
      <c r="K43" s="397">
        <f t="shared" si="13"/>
        <v>0.72</v>
      </c>
      <c r="L43" s="478">
        <f t="shared" si="8"/>
        <v>335.37208320000002</v>
      </c>
      <c r="M43" s="478">
        <f>L43/'[3]Wskaźniki emisji'!$E$26</f>
        <v>93.158912000000001</v>
      </c>
      <c r="N43" s="789">
        <f>SUM(M43:M45)</f>
        <v>778.8225090333334</v>
      </c>
      <c r="O43" s="398">
        <f>O40</f>
        <v>6.8610000000000004E-2</v>
      </c>
      <c r="P43" s="479">
        <f t="shared" si="9"/>
        <v>23.009878628352002</v>
      </c>
      <c r="Q43" s="800">
        <f>P43+P44+P45</f>
        <v>204.01684028198764</v>
      </c>
      <c r="R43" s="781">
        <f>Q43/Q46</f>
        <v>2.7302749360421943E-2</v>
      </c>
    </row>
    <row r="44" spans="1:18" ht="15" customHeight="1">
      <c r="A44" s="798"/>
      <c r="B44" s="776"/>
      <c r="C44" s="93" t="s">
        <v>33</v>
      </c>
      <c r="D44" s="278">
        <v>294</v>
      </c>
      <c r="E44" s="402">
        <f>E45</f>
        <v>18541</v>
      </c>
      <c r="F44" s="405">
        <v>850</v>
      </c>
      <c r="G44" s="409">
        <f t="shared" si="10"/>
        <v>249900</v>
      </c>
      <c r="H44" s="412">
        <v>0.27800000000000002</v>
      </c>
      <c r="I44" s="410">
        <f t="shared" si="7"/>
        <v>69472.200000000012</v>
      </c>
      <c r="J44" s="411">
        <f>J32</f>
        <v>4.333E-2</v>
      </c>
      <c r="K44" s="397">
        <f t="shared" si="13"/>
        <v>0.82</v>
      </c>
      <c r="L44" s="478">
        <f t="shared" si="8"/>
        <v>2468.3889493200004</v>
      </c>
      <c r="M44" s="478">
        <f>L44/'[3]Wskaźniki emisji'!$E$26</f>
        <v>685.66359703333342</v>
      </c>
      <c r="N44" s="783"/>
      <c r="O44" s="403">
        <f>O41</f>
        <v>7.3330000000000006E-2</v>
      </c>
      <c r="P44" s="479">
        <f t="shared" si="9"/>
        <v>181.00696165363564</v>
      </c>
      <c r="Q44" s="801"/>
      <c r="R44" s="781"/>
    </row>
    <row r="45" spans="1:18" ht="15" customHeight="1" thickBot="1">
      <c r="A45" s="799"/>
      <c r="B45" s="777"/>
      <c r="C45" s="93" t="s">
        <v>34</v>
      </c>
      <c r="D45" s="278">
        <v>0</v>
      </c>
      <c r="E45" s="402">
        <v>18541</v>
      </c>
      <c r="F45" s="405">
        <v>850</v>
      </c>
      <c r="G45" s="409">
        <f t="shared" si="10"/>
        <v>0</v>
      </c>
      <c r="H45" s="412">
        <v>0.27800000000000002</v>
      </c>
      <c r="I45" s="410">
        <f t="shared" si="7"/>
        <v>0</v>
      </c>
      <c r="J45" s="411">
        <f>J33</f>
        <v>4.7309999999999998E-2</v>
      </c>
      <c r="K45" s="397">
        <f t="shared" si="13"/>
        <v>0.56200000000000006</v>
      </c>
      <c r="L45" s="477">
        <f t="shared" si="8"/>
        <v>0</v>
      </c>
      <c r="M45" s="477">
        <f>L45/'[3]Wskaźniki emisji'!$E$26</f>
        <v>0</v>
      </c>
      <c r="N45" s="784"/>
      <c r="O45" s="414">
        <f>O42</f>
        <v>6.2440000000000002E-2</v>
      </c>
      <c r="P45" s="479">
        <f>L45*O45</f>
        <v>0</v>
      </c>
      <c r="Q45" s="778"/>
      <c r="R45" s="781"/>
    </row>
    <row r="46" spans="1:18" ht="15" customHeight="1">
      <c r="A46" s="793" t="s">
        <v>71</v>
      </c>
      <c r="B46" s="794">
        <f>B31+B34+B37+B40+B43</f>
        <v>8438</v>
      </c>
      <c r="C46" s="92" t="s">
        <v>32</v>
      </c>
      <c r="D46" s="404">
        <f>D31+D34+D37+D40+D43</f>
        <v>4490</v>
      </c>
      <c r="E46" s="415"/>
      <c r="F46" s="416"/>
      <c r="G46" s="417"/>
      <c r="H46" s="417"/>
      <c r="I46" s="417"/>
      <c r="J46" s="417"/>
      <c r="K46" s="401" t="e">
        <f>M46/M49</f>
        <v>#DIV/0!</v>
      </c>
      <c r="L46" s="418">
        <f t="shared" ref="L46:M48" si="14">L31+L34+L37+L40+L43</f>
        <v>56383.629813503998</v>
      </c>
      <c r="M46" s="419">
        <f t="shared" si="14"/>
        <v>15662.119392639999</v>
      </c>
      <c r="N46" s="502">
        <f>SUM(M46:M48)</f>
        <v>29749.714168770526</v>
      </c>
      <c r="O46" s="419">
        <f>M46+M47+M48</f>
        <v>29749.714168770526</v>
      </c>
      <c r="P46" s="420">
        <f>P31+P34+P37+P40+P43</f>
        <v>3868.4808415045086</v>
      </c>
      <c r="Q46" s="421">
        <f>P46+P47+P48</f>
        <v>7472.3917942758681</v>
      </c>
      <c r="R46" s="795"/>
    </row>
    <row r="47" spans="1:18" ht="15" customHeight="1">
      <c r="A47" s="793"/>
      <c r="B47" s="794"/>
      <c r="C47" s="93" t="s">
        <v>33</v>
      </c>
      <c r="D47" s="404">
        <f>D32+D35+D38+D41+D44</f>
        <v>3152</v>
      </c>
      <c r="E47" s="415"/>
      <c r="F47" s="416"/>
      <c r="G47" s="417"/>
      <c r="H47" s="417"/>
      <c r="I47" s="417"/>
      <c r="J47" s="417"/>
      <c r="K47" s="401" t="e">
        <f>M47/M49</f>
        <v>#DIV/0!</v>
      </c>
      <c r="L47" s="423">
        <f t="shared" si="14"/>
        <v>40151.060478754385</v>
      </c>
      <c r="M47" s="424">
        <f t="shared" si="14"/>
        <v>11153.072355209553</v>
      </c>
      <c r="N47" s="503"/>
      <c r="O47" s="425"/>
      <c r="P47" s="426">
        <f>P32+P35+P38+P41+P44</f>
        <v>2944.2772649070594</v>
      </c>
      <c r="Q47" s="421"/>
      <c r="R47" s="795"/>
    </row>
    <row r="48" spans="1:18" ht="15" customHeight="1">
      <c r="A48" s="793"/>
      <c r="B48" s="794"/>
      <c r="C48" s="93" t="s">
        <v>34</v>
      </c>
      <c r="D48" s="427">
        <f>D33+D36+D39+D42+D45</f>
        <v>796</v>
      </c>
      <c r="K48" s="173" t="e">
        <f>M48/M49</f>
        <v>#DIV/0!</v>
      </c>
      <c r="L48" s="428">
        <f t="shared" si="14"/>
        <v>10564.28071531551</v>
      </c>
      <c r="M48" s="429">
        <f t="shared" si="14"/>
        <v>2934.522420920975</v>
      </c>
      <c r="N48" s="504"/>
      <c r="O48" s="283"/>
      <c r="P48" s="430">
        <f>P33+P36+P39+P42+P45</f>
        <v>659.63368786430044</v>
      </c>
      <c r="Q48" s="421"/>
      <c r="R48" s="795"/>
    </row>
    <row r="49" spans="1:22" ht="15" customHeight="1">
      <c r="M49" s="235"/>
      <c r="N49" s="235"/>
    </row>
    <row r="50" spans="1:22" ht="15" customHeight="1">
      <c r="M50" s="235"/>
      <c r="N50" s="235"/>
    </row>
    <row r="51" spans="1:22">
      <c r="M51" s="235"/>
      <c r="N51" s="235"/>
    </row>
    <row r="52" spans="1:22" ht="40.200000000000003" customHeight="1" thickBot="1">
      <c r="A52" s="24"/>
      <c r="B52" s="392"/>
      <c r="C52" s="392"/>
      <c r="D52" s="392"/>
      <c r="E52" s="805"/>
      <c r="F52" s="805"/>
      <c r="G52" s="392"/>
      <c r="H52" s="392"/>
      <c r="I52" s="392"/>
      <c r="J52" s="392"/>
      <c r="K52" s="392"/>
      <c r="L52" s="392"/>
      <c r="M52" s="392"/>
      <c r="N52" s="392"/>
      <c r="O52" s="392"/>
      <c r="P52" s="24"/>
      <c r="Q52" s="24"/>
      <c r="R52" s="24"/>
      <c r="S52" s="24"/>
      <c r="T52" s="24"/>
      <c r="U52" s="431"/>
      <c r="V52" s="431"/>
    </row>
    <row r="53" spans="1:22" ht="14.4" thickBot="1">
      <c r="A53" s="769" t="s">
        <v>277</v>
      </c>
      <c r="B53" s="770"/>
      <c r="C53" s="770"/>
      <c r="D53" s="770"/>
      <c r="E53" s="770"/>
      <c r="F53" s="770"/>
      <c r="G53" s="770"/>
      <c r="H53" s="770"/>
      <c r="I53" s="770"/>
      <c r="J53" s="770"/>
      <c r="K53" s="770"/>
      <c r="L53" s="770"/>
      <c r="M53" s="770"/>
      <c r="N53" s="770"/>
      <c r="O53" s="770"/>
      <c r="P53" s="771"/>
      <c r="Q53" s="386"/>
      <c r="R53" s="386"/>
      <c r="S53" s="386"/>
      <c r="T53" s="386"/>
      <c r="U53" s="431"/>
      <c r="V53" s="431"/>
    </row>
    <row r="54" spans="1:22" ht="79.8" thickBot="1">
      <c r="A54" s="387" t="s">
        <v>240</v>
      </c>
      <c r="B54" s="388" t="str">
        <f>B6</f>
        <v>Liczba pojazdów na terenie gminy Białobrzegi</v>
      </c>
      <c r="C54" s="388" t="s">
        <v>48</v>
      </c>
      <c r="D54" s="388" t="s">
        <v>241</v>
      </c>
      <c r="E54" s="388" t="s">
        <v>242</v>
      </c>
      <c r="F54" s="388" t="str">
        <f>F6</f>
        <v>Szacowany roczny przebieg na terenie Gminy Wyszogród</v>
      </c>
      <c r="G54" s="388" t="s">
        <v>243</v>
      </c>
      <c r="H54" s="388" t="s">
        <v>244</v>
      </c>
      <c r="I54" s="388" t="s">
        <v>245</v>
      </c>
      <c r="J54" s="389" t="s">
        <v>246</v>
      </c>
      <c r="K54" s="389" t="s">
        <v>247</v>
      </c>
      <c r="L54" s="388" t="s">
        <v>248</v>
      </c>
      <c r="M54" s="390" t="s">
        <v>249</v>
      </c>
      <c r="N54" s="390" t="str">
        <f>M54</f>
        <v>Zużycie paliw MWh</v>
      </c>
      <c r="O54" s="390" t="s">
        <v>250</v>
      </c>
      <c r="P54" s="390" t="s">
        <v>251</v>
      </c>
      <c r="Q54" s="460" t="str">
        <f>Q5</f>
        <v>Emisja Razem</v>
      </c>
      <c r="R54" s="392"/>
      <c r="S54" s="392"/>
      <c r="T54" s="392"/>
      <c r="U54" s="431"/>
      <c r="V54" s="431"/>
    </row>
    <row r="55" spans="1:22" ht="14.4">
      <c r="A55" s="776" t="s">
        <v>31</v>
      </c>
      <c r="B55" s="809">
        <f>SUM(D55:D57)</f>
        <v>228</v>
      </c>
      <c r="C55" s="393" t="s">
        <v>32</v>
      </c>
      <c r="D55" s="432">
        <v>228</v>
      </c>
      <c r="E55" s="395">
        <v>5000</v>
      </c>
      <c r="F55" s="395">
        <f>F7</f>
        <v>4250</v>
      </c>
      <c r="G55" s="395">
        <f>D55*F55</f>
        <v>969000</v>
      </c>
      <c r="H55" s="396">
        <v>0.04</v>
      </c>
      <c r="I55" s="395">
        <f>G55*H55</f>
        <v>38760</v>
      </c>
      <c r="J55" s="397">
        <f>J7</f>
        <v>4.48E-2</v>
      </c>
      <c r="K55" s="397">
        <v>0.72</v>
      </c>
      <c r="L55" s="395">
        <f>I55*J55*K55</f>
        <v>1250.2425599999999</v>
      </c>
      <c r="M55" s="395">
        <f>L55/'[3]Wskaźniki emisji'!$E$26</f>
        <v>347.28959999999995</v>
      </c>
      <c r="N55" s="782">
        <f>SUM(M55:M57)</f>
        <v>347.28959999999995</v>
      </c>
      <c r="O55" s="398">
        <f>'[3]Wskaźniki emisji'!G12</f>
        <v>6.8610000000000004E-2</v>
      </c>
      <c r="P55" s="459">
        <f>L55*O55</f>
        <v>85.779142041599997</v>
      </c>
      <c r="Q55" s="813">
        <f>SUM(P55:P57)</f>
        <v>85.779142041599997</v>
      </c>
      <c r="R55" s="433"/>
      <c r="S55" s="433"/>
      <c r="T55" s="433"/>
      <c r="U55" s="431"/>
      <c r="V55" s="431"/>
    </row>
    <row r="56" spans="1:22" ht="14.4">
      <c r="A56" s="776"/>
      <c r="B56" s="776"/>
      <c r="C56" s="93" t="s">
        <v>33</v>
      </c>
      <c r="D56" s="432">
        <f>(D8*'Informacje ogolne'!J35)+'Sektor transportu'!D8</f>
        <v>0</v>
      </c>
      <c r="E56" s="395">
        <v>5000</v>
      </c>
      <c r="F56" s="395">
        <f>F8</f>
        <v>4250</v>
      </c>
      <c r="G56" s="402">
        <f>D56*F56</f>
        <v>0</v>
      </c>
      <c r="H56" s="396">
        <f>H55</f>
        <v>0.04</v>
      </c>
      <c r="I56" s="395">
        <f t="shared" ref="I56:I69" si="15">G56*H56</f>
        <v>0</v>
      </c>
      <c r="J56" s="397">
        <f>J8</f>
        <v>4.333E-2</v>
      </c>
      <c r="K56" s="397">
        <v>0.82</v>
      </c>
      <c r="L56" s="395">
        <f t="shared" ref="L56:L69" si="16">I56*J56*K56</f>
        <v>0</v>
      </c>
      <c r="M56" s="395">
        <f>L56/'[3]Wskaźniki emisji'!$E$26</f>
        <v>0</v>
      </c>
      <c r="N56" s="783"/>
      <c r="O56" s="403">
        <f>'[3]Wskaźniki emisji'!G14</f>
        <v>7.3330000000000006E-2</v>
      </c>
      <c r="P56" s="459">
        <f t="shared" ref="P56:P68" si="17">L56*O56</f>
        <v>0</v>
      </c>
      <c r="Q56" s="814"/>
      <c r="R56" s="433"/>
      <c r="S56" s="433"/>
      <c r="T56" s="433"/>
      <c r="U56" s="431"/>
      <c r="V56" s="431"/>
    </row>
    <row r="57" spans="1:22" ht="21" customHeight="1">
      <c r="A57" s="777"/>
      <c r="B57" s="777"/>
      <c r="C57" s="93" t="s">
        <v>34</v>
      </c>
      <c r="D57" s="432">
        <f>(D9*'Informacje ogolne'!J35)+'Sektor transportu'!D9</f>
        <v>0</v>
      </c>
      <c r="E57" s="395">
        <v>5000</v>
      </c>
      <c r="F57" s="395">
        <f>F9</f>
        <v>4250</v>
      </c>
      <c r="G57" s="402">
        <f t="shared" ref="G57:G69" si="18">D57*F57</f>
        <v>0</v>
      </c>
      <c r="H57" s="396">
        <v>0</v>
      </c>
      <c r="I57" s="395">
        <f t="shared" si="15"/>
        <v>0</v>
      </c>
      <c r="J57" s="397">
        <f>J9</f>
        <v>4.7309999999999998E-2</v>
      </c>
      <c r="K57" s="397">
        <v>0.56200000000000006</v>
      </c>
      <c r="L57" s="395">
        <f t="shared" si="16"/>
        <v>0</v>
      </c>
      <c r="M57" s="395">
        <f>L57/'[3]Wskaźniki emisji'!$E$26</f>
        <v>0</v>
      </c>
      <c r="N57" s="784"/>
      <c r="O57" s="403">
        <f>'[3]Wskaźniki emisji'!G11</f>
        <v>6.2440000000000002E-2</v>
      </c>
      <c r="P57" s="459">
        <f t="shared" si="17"/>
        <v>0</v>
      </c>
      <c r="Q57" s="815"/>
      <c r="R57" s="433"/>
      <c r="S57" s="433"/>
      <c r="T57" s="433"/>
      <c r="U57" s="431"/>
      <c r="V57" s="431"/>
    </row>
    <row r="58" spans="1:22" ht="21" customHeight="1">
      <c r="A58" s="788" t="s">
        <v>252</v>
      </c>
      <c r="B58" s="804">
        <f>SUM(D58:D60)</f>
        <v>6265.8605934230054</v>
      </c>
      <c r="C58" s="92" t="s">
        <v>32</v>
      </c>
      <c r="D58" s="432">
        <f>(D10*'Informacje ogolne'!J35)+'Sektor transportu'!D10</f>
        <v>3464.2979242482966</v>
      </c>
      <c r="E58" s="402">
        <f>9328</f>
        <v>9328</v>
      </c>
      <c r="F58" s="405">
        <f>F55</f>
        <v>4250</v>
      </c>
      <c r="G58" s="402">
        <f t="shared" si="18"/>
        <v>14723266.17805526</v>
      </c>
      <c r="H58" s="406">
        <v>0.08</v>
      </c>
      <c r="I58" s="395">
        <f t="shared" si="15"/>
        <v>1177861.2942444209</v>
      </c>
      <c r="J58" s="397">
        <f t="shared" ref="J58:K66" si="19">J55</f>
        <v>4.48E-2</v>
      </c>
      <c r="K58" s="397">
        <f t="shared" si="19"/>
        <v>0.72</v>
      </c>
      <c r="L58" s="395">
        <f t="shared" si="16"/>
        <v>37993.093907148039</v>
      </c>
      <c r="M58" s="395">
        <f>L58/'[3]Wskaźniki emisji'!$E$26</f>
        <v>10553.637196430011</v>
      </c>
      <c r="N58" s="789">
        <f>SUM(M58:M60)</f>
        <v>19029.093845316151</v>
      </c>
      <c r="O58" s="398">
        <f t="shared" ref="O58:O66" si="20">O55</f>
        <v>6.8610000000000004E-2</v>
      </c>
      <c r="P58" s="459">
        <f t="shared" si="17"/>
        <v>2606.7061729694269</v>
      </c>
      <c r="Q58" s="813">
        <f>SUM(P58:P60)</f>
        <v>4770.0145285176477</v>
      </c>
      <c r="R58" s="433"/>
      <c r="S58" s="433"/>
      <c r="T58" s="433"/>
      <c r="U58" s="431"/>
      <c r="V58" s="431"/>
    </row>
    <row r="59" spans="1:22" ht="12" customHeight="1">
      <c r="A59" s="776"/>
      <c r="B59" s="776"/>
      <c r="C59" s="93" t="s">
        <v>33</v>
      </c>
      <c r="D59" s="432">
        <f>(D11*'Informacje ogolne'!J35)+'Sektor transportu'!D11</f>
        <v>2211.1258055636954</v>
      </c>
      <c r="E59" s="402">
        <f>9328</f>
        <v>9328</v>
      </c>
      <c r="F59" s="405">
        <f>F56</f>
        <v>4250</v>
      </c>
      <c r="G59" s="402">
        <f t="shared" si="18"/>
        <v>9397284.673645705</v>
      </c>
      <c r="H59" s="406">
        <v>7.0999999999999994E-2</v>
      </c>
      <c r="I59" s="395">
        <f t="shared" si="15"/>
        <v>667207.21182884497</v>
      </c>
      <c r="J59" s="397">
        <f t="shared" si="19"/>
        <v>4.333E-2</v>
      </c>
      <c r="K59" s="397">
        <f t="shared" si="19"/>
        <v>0.82</v>
      </c>
      <c r="L59" s="395">
        <f t="shared" si="16"/>
        <v>23706.272560605958</v>
      </c>
      <c r="M59" s="395">
        <f>L59/'[3]Wskaźniki emisji'!$E$26</f>
        <v>6585.0757112794327</v>
      </c>
      <c r="N59" s="783"/>
      <c r="O59" s="403">
        <f t="shared" si="20"/>
        <v>7.3330000000000006E-2</v>
      </c>
      <c r="P59" s="459">
        <f t="shared" si="17"/>
        <v>1738.380966869235</v>
      </c>
      <c r="Q59" s="814"/>
      <c r="R59" s="434"/>
      <c r="S59" s="434"/>
      <c r="T59" s="434"/>
    </row>
    <row r="60" spans="1:22" ht="14.4">
      <c r="A60" s="777"/>
      <c r="B60" s="777"/>
      <c r="C60" s="93" t="s">
        <v>34</v>
      </c>
      <c r="D60" s="432">
        <f>(D12*'Informacje ogolne'!J35)+'Sektor transportu'!D12</f>
        <v>590.43686361101402</v>
      </c>
      <c r="E60" s="402">
        <f>9328</f>
        <v>9328</v>
      </c>
      <c r="F60" s="405">
        <f>F57</f>
        <v>4250</v>
      </c>
      <c r="G60" s="402">
        <f t="shared" si="18"/>
        <v>2509356.6703468096</v>
      </c>
      <c r="H60" s="406">
        <v>0.10199999999999999</v>
      </c>
      <c r="I60" s="395">
        <f t="shared" si="15"/>
        <v>255954.38037537455</v>
      </c>
      <c r="J60" s="397">
        <f t="shared" si="19"/>
        <v>4.7309999999999998E-2</v>
      </c>
      <c r="K60" s="397">
        <f t="shared" si="19"/>
        <v>0.56200000000000006</v>
      </c>
      <c r="L60" s="395">
        <f t="shared" si="16"/>
        <v>6805.3713753841412</v>
      </c>
      <c r="M60" s="395">
        <f>L60/'[3]Wskaźniki emisji'!$E$26</f>
        <v>1890.3809376067059</v>
      </c>
      <c r="N60" s="784"/>
      <c r="O60" s="403">
        <f t="shared" si="20"/>
        <v>6.2440000000000002E-2</v>
      </c>
      <c r="P60" s="459">
        <f t="shared" si="17"/>
        <v>424.92738867898578</v>
      </c>
      <c r="Q60" s="815"/>
      <c r="R60" s="434"/>
      <c r="S60" s="434"/>
      <c r="T60" s="434"/>
    </row>
    <row r="61" spans="1:22" ht="14.4">
      <c r="A61" s="788" t="s">
        <v>253</v>
      </c>
      <c r="B61" s="804">
        <f>SUM(D61:D63)</f>
        <v>1470.0672930723206</v>
      </c>
      <c r="C61" s="92" t="s">
        <v>32</v>
      </c>
      <c r="D61" s="432">
        <f>(D13*'Informacje ogolne'!J35)+'Sektor transportu'!D13</f>
        <v>757.12482170527994</v>
      </c>
      <c r="E61" s="402">
        <f>E63</f>
        <v>18541</v>
      </c>
      <c r="F61" s="405">
        <f>F63</f>
        <v>2134</v>
      </c>
      <c r="G61" s="402">
        <f t="shared" si="18"/>
        <v>1615704.3695190675</v>
      </c>
      <c r="H61" s="406">
        <v>0.32100000000000001</v>
      </c>
      <c r="I61" s="395">
        <f t="shared" si="15"/>
        <v>518641.10261562065</v>
      </c>
      <c r="J61" s="397">
        <f t="shared" si="19"/>
        <v>4.48E-2</v>
      </c>
      <c r="K61" s="397">
        <f t="shared" si="19"/>
        <v>0.72</v>
      </c>
      <c r="L61" s="395">
        <f t="shared" si="16"/>
        <v>16729.287405969459</v>
      </c>
      <c r="M61" s="395">
        <f>L61/'[3]Wskaźniki emisji'!$E$26</f>
        <v>4647.024279435961</v>
      </c>
      <c r="N61" s="789">
        <f>SUM(M61:M63)</f>
        <v>8338.327548520836</v>
      </c>
      <c r="O61" s="398">
        <f t="shared" si="20"/>
        <v>6.8610000000000004E-2</v>
      </c>
      <c r="P61" s="459">
        <f t="shared" si="17"/>
        <v>1147.7964089235647</v>
      </c>
      <c r="Q61" s="800">
        <f>SUM(P61:P63)</f>
        <v>2082.8215327664725</v>
      </c>
      <c r="R61" s="434"/>
      <c r="S61" s="434"/>
      <c r="T61" s="434"/>
    </row>
    <row r="62" spans="1:22" ht="14.4">
      <c r="A62" s="776"/>
      <c r="B62" s="776"/>
      <c r="C62" s="93" t="s">
        <v>33</v>
      </c>
      <c r="D62" s="432">
        <f>(D14*'Informacje ogolne'!J35)+'Sektor transportu'!D14</f>
        <v>514.12189484496457</v>
      </c>
      <c r="E62" s="402">
        <f>E63</f>
        <v>18541</v>
      </c>
      <c r="F62" s="405">
        <f>F63</f>
        <v>2134</v>
      </c>
      <c r="G62" s="402">
        <f t="shared" si="18"/>
        <v>1097136.1235991544</v>
      </c>
      <c r="H62" s="406">
        <v>0.248</v>
      </c>
      <c r="I62" s="395">
        <f t="shared" si="15"/>
        <v>272089.75865259027</v>
      </c>
      <c r="J62" s="397">
        <f t="shared" si="19"/>
        <v>4.333E-2</v>
      </c>
      <c r="K62" s="397">
        <f t="shared" si="19"/>
        <v>0.82</v>
      </c>
      <c r="L62" s="395">
        <f t="shared" si="16"/>
        <v>9667.5123787817247</v>
      </c>
      <c r="M62" s="395">
        <f>L62/'[3]Wskaźniki emisji'!$E$26</f>
        <v>2685.4201052171456</v>
      </c>
      <c r="N62" s="783"/>
      <c r="O62" s="403">
        <f t="shared" si="20"/>
        <v>7.3330000000000006E-2</v>
      </c>
      <c r="P62" s="459">
        <f t="shared" si="17"/>
        <v>708.91868273606394</v>
      </c>
      <c r="Q62" s="801"/>
      <c r="R62" s="434"/>
      <c r="S62" s="434"/>
      <c r="T62" s="434"/>
    </row>
    <row r="63" spans="1:22" ht="21.6" customHeight="1">
      <c r="A63" s="777"/>
      <c r="B63" s="777"/>
      <c r="C63" s="93" t="s">
        <v>34</v>
      </c>
      <c r="D63" s="432">
        <f>(D15*'Informacje ogolne'!J35)+'Sektor transportu'!D15</f>
        <v>198.82057652207615</v>
      </c>
      <c r="E63" s="402">
        <v>18541</v>
      </c>
      <c r="F63" s="405">
        <f>9.7*220</f>
        <v>2134</v>
      </c>
      <c r="G63" s="402">
        <f t="shared" si="18"/>
        <v>424283.11029811052</v>
      </c>
      <c r="H63" s="406">
        <v>0.32100000000000001</v>
      </c>
      <c r="I63" s="395">
        <f t="shared" si="15"/>
        <v>136194.87840569348</v>
      </c>
      <c r="J63" s="397">
        <f>J57</f>
        <v>4.7309999999999998E-2</v>
      </c>
      <c r="K63" s="397">
        <f t="shared" si="19"/>
        <v>0.56200000000000006</v>
      </c>
      <c r="L63" s="395">
        <f t="shared" si="16"/>
        <v>3621.1793899238278</v>
      </c>
      <c r="M63" s="395">
        <f>L63/'[3]Wskaźniki emisji'!$E$26</f>
        <v>1005.8831638677299</v>
      </c>
      <c r="N63" s="784"/>
      <c r="O63" s="403">
        <f t="shared" si="20"/>
        <v>6.2440000000000002E-2</v>
      </c>
      <c r="P63" s="459">
        <f t="shared" si="17"/>
        <v>226.10644110684382</v>
      </c>
      <c r="Q63" s="778"/>
      <c r="R63" s="434"/>
      <c r="S63" s="434"/>
      <c r="T63" s="434"/>
    </row>
    <row r="64" spans="1:22" ht="14.4">
      <c r="A64" s="797" t="s">
        <v>254</v>
      </c>
      <c r="B64" s="804">
        <f>SUM(D64:D66)</f>
        <v>141.5843499475391</v>
      </c>
      <c r="C64" s="92" t="s">
        <v>32</v>
      </c>
      <c r="D64" s="432">
        <f>(D16*'Informacje ogolne'!J35)+'Sektor transportu'!D16</f>
        <v>2.0082886517381429</v>
      </c>
      <c r="E64" s="402">
        <v>13881</v>
      </c>
      <c r="F64" s="405">
        <v>3540.5</v>
      </c>
      <c r="G64" s="402">
        <f t="shared" si="18"/>
        <v>7110.3459714788951</v>
      </c>
      <c r="H64" s="406">
        <v>0.32100000000000001</v>
      </c>
      <c r="I64" s="395">
        <f t="shared" si="15"/>
        <v>2282.4210568447252</v>
      </c>
      <c r="J64" s="397">
        <f>J55</f>
        <v>4.48E-2</v>
      </c>
      <c r="K64" s="397">
        <f t="shared" si="19"/>
        <v>0.72</v>
      </c>
      <c r="L64" s="395">
        <f t="shared" si="16"/>
        <v>73.621773609583443</v>
      </c>
      <c r="M64" s="395">
        <f>L64/'[3]Wskaźniki emisji'!$E$26</f>
        <v>20.450492669328735</v>
      </c>
      <c r="N64" s="789">
        <f>SUM(M64:M66)</f>
        <v>1229.7367305910507</v>
      </c>
      <c r="O64" s="398">
        <f t="shared" si="20"/>
        <v>6.8610000000000004E-2</v>
      </c>
      <c r="P64" s="459">
        <f t="shared" si="17"/>
        <v>5.0511898873535204</v>
      </c>
      <c r="Q64" s="800">
        <f>SUM(P64:P66)</f>
        <v>323.95781264450255</v>
      </c>
      <c r="R64" s="434"/>
      <c r="S64" s="434"/>
      <c r="T64" s="434"/>
    </row>
    <row r="65" spans="1:21" ht="14.4">
      <c r="A65" s="798"/>
      <c r="B65" s="776"/>
      <c r="C65" s="93" t="s">
        <v>33</v>
      </c>
      <c r="D65" s="432">
        <f>(D17*'Informacje ogolne'!J35)+'Sektor transportu'!D17</f>
        <v>138.57191696993186</v>
      </c>
      <c r="E65" s="402">
        <v>13881</v>
      </c>
      <c r="F65" s="405">
        <v>3540.5</v>
      </c>
      <c r="G65" s="402">
        <f t="shared" si="18"/>
        <v>490613.87203204376</v>
      </c>
      <c r="H65" s="406">
        <v>0.248</v>
      </c>
      <c r="I65" s="395">
        <f t="shared" si="15"/>
        <v>121672.24026394685</v>
      </c>
      <c r="J65" s="397">
        <f>J56</f>
        <v>4.333E-2</v>
      </c>
      <c r="K65" s="397">
        <f t="shared" si="19"/>
        <v>0.82</v>
      </c>
      <c r="L65" s="395">
        <f t="shared" si="16"/>
        <v>4323.0876999221891</v>
      </c>
      <c r="M65" s="395">
        <f>L65/'[3]Wskaźniki emisji'!$E$26</f>
        <v>1200.8576944228303</v>
      </c>
      <c r="N65" s="783"/>
      <c r="O65" s="403">
        <f t="shared" si="20"/>
        <v>7.3330000000000006E-2</v>
      </c>
      <c r="P65" s="459">
        <f t="shared" si="17"/>
        <v>317.01202103529414</v>
      </c>
      <c r="Q65" s="801"/>
      <c r="R65" s="434"/>
      <c r="S65" s="434"/>
      <c r="T65" s="434"/>
    </row>
    <row r="66" spans="1:21" ht="14.4">
      <c r="A66" s="799"/>
      <c r="B66" s="777"/>
      <c r="C66" s="93" t="s">
        <v>34</v>
      </c>
      <c r="D66" s="432">
        <f>(D18*'Informacje ogolne'!J35)+'Sektor transportu'!D18</f>
        <v>1.0041443258690714</v>
      </c>
      <c r="E66" s="402">
        <v>13881</v>
      </c>
      <c r="F66" s="405">
        <v>3540.5</v>
      </c>
      <c r="G66" s="402">
        <f t="shared" si="18"/>
        <v>3555.1729857394475</v>
      </c>
      <c r="H66" s="406">
        <v>0.32100000000000001</v>
      </c>
      <c r="I66" s="395">
        <f t="shared" si="15"/>
        <v>1141.2105284223626</v>
      </c>
      <c r="J66" s="397">
        <f>J57</f>
        <v>4.7309999999999998E-2</v>
      </c>
      <c r="K66" s="397">
        <f t="shared" si="19"/>
        <v>0.56200000000000006</v>
      </c>
      <c r="L66" s="395">
        <f t="shared" si="16"/>
        <v>30.34275659601003</v>
      </c>
      <c r="M66" s="395">
        <f>L66/'[3]Wskaźniki emisji'!$E$26</f>
        <v>8.4285434988916741</v>
      </c>
      <c r="N66" s="783"/>
      <c r="O66" s="403">
        <f t="shared" si="20"/>
        <v>6.2440000000000002E-2</v>
      </c>
      <c r="P66" s="459">
        <f t="shared" si="17"/>
        <v>1.8946017218548663</v>
      </c>
      <c r="Q66" s="778"/>
      <c r="R66" s="434"/>
      <c r="S66" s="434"/>
      <c r="T66" s="434"/>
    </row>
    <row r="67" spans="1:21" ht="14.4">
      <c r="A67" s="797" t="s">
        <v>255</v>
      </c>
      <c r="B67" s="804">
        <f>SUM(D67:D69)</f>
        <v>339.40078214374614</v>
      </c>
      <c r="C67" s="92" t="s">
        <v>32</v>
      </c>
      <c r="D67" s="432">
        <f>(D19*'Informacje ogolne'!J35)+'Sektor transportu'!D19</f>
        <v>44.182350338239146</v>
      </c>
      <c r="E67" s="402">
        <f>E69</f>
        <v>18541</v>
      </c>
      <c r="F67" s="405">
        <f>F19</f>
        <v>850</v>
      </c>
      <c r="G67" s="409">
        <f t="shared" si="18"/>
        <v>37554.997787503271</v>
      </c>
      <c r="H67" s="406">
        <v>0.27800000000000002</v>
      </c>
      <c r="I67" s="410">
        <f t="shared" si="15"/>
        <v>10440.289384925911</v>
      </c>
      <c r="J67" s="411">
        <f>J55</f>
        <v>4.48E-2</v>
      </c>
      <c r="K67" s="397">
        <f>K64</f>
        <v>0.72</v>
      </c>
      <c r="L67" s="395">
        <f t="shared" si="16"/>
        <v>336.76197440017017</v>
      </c>
      <c r="M67" s="395">
        <f>L67/'[3]Wskaźniki emisji'!$E$26</f>
        <v>93.544992888936164</v>
      </c>
      <c r="N67" s="783">
        <f>SUM(M67:M69)</f>
        <v>782.05020330493539</v>
      </c>
      <c r="O67" s="398">
        <f>O64</f>
        <v>6.8610000000000004E-2</v>
      </c>
      <c r="P67" s="459">
        <f t="shared" si="17"/>
        <v>23.105239063595675</v>
      </c>
      <c r="Q67" s="800">
        <f>SUM(P67:P69)</f>
        <v>204.86235255089451</v>
      </c>
      <c r="R67" s="434"/>
      <c r="S67" s="434"/>
      <c r="T67" s="434"/>
    </row>
    <row r="68" spans="1:21" ht="14.4">
      <c r="A68" s="798"/>
      <c r="B68" s="776"/>
      <c r="C68" s="93" t="s">
        <v>33</v>
      </c>
      <c r="D68" s="432">
        <f>(D20*'Informacje ogolne'!J35)+'Sektor transportu'!D20</f>
        <v>295.21843180550701</v>
      </c>
      <c r="E68" s="402">
        <f>E69</f>
        <v>18541</v>
      </c>
      <c r="F68" s="405">
        <f>F20</f>
        <v>850</v>
      </c>
      <c r="G68" s="409">
        <f t="shared" si="18"/>
        <v>250935.66703468096</v>
      </c>
      <c r="H68" s="412">
        <v>0.27800000000000002</v>
      </c>
      <c r="I68" s="410">
        <f t="shared" si="15"/>
        <v>69760.115435641317</v>
      </c>
      <c r="J68" s="411">
        <f>J56</f>
        <v>4.333E-2</v>
      </c>
      <c r="K68" s="397">
        <f>K65</f>
        <v>0.82</v>
      </c>
      <c r="L68" s="395">
        <f t="shared" si="16"/>
        <v>2478.6187574975975</v>
      </c>
      <c r="M68" s="395">
        <f>L68/'[3]Wskaźniki emisji'!$E$26</f>
        <v>688.50521041599927</v>
      </c>
      <c r="N68" s="783"/>
      <c r="O68" s="403">
        <f>O65</f>
        <v>7.3330000000000006E-2</v>
      </c>
      <c r="P68" s="459">
        <f t="shared" si="17"/>
        <v>181.75711348729885</v>
      </c>
      <c r="Q68" s="801"/>
      <c r="R68" s="434"/>
      <c r="S68" s="434"/>
      <c r="T68" s="434"/>
      <c r="U68" s="24"/>
    </row>
    <row r="69" spans="1:21" ht="15" thickBot="1">
      <c r="A69" s="799"/>
      <c r="B69" s="777"/>
      <c r="C69" s="93" t="s">
        <v>34</v>
      </c>
      <c r="D69" s="432">
        <f>(D21*'Informacje ogolne'!J35)+'Sektor transportu'!D21</f>
        <v>0</v>
      </c>
      <c r="E69" s="402">
        <v>18541</v>
      </c>
      <c r="F69" s="405">
        <f>F21</f>
        <v>850</v>
      </c>
      <c r="G69" s="409">
        <f t="shared" si="18"/>
        <v>0</v>
      </c>
      <c r="H69" s="412">
        <v>0.27800000000000002</v>
      </c>
      <c r="I69" s="410">
        <f t="shared" si="15"/>
        <v>0</v>
      </c>
      <c r="J69" s="411">
        <f>J57</f>
        <v>4.7309999999999998E-2</v>
      </c>
      <c r="K69" s="397">
        <f>K66</f>
        <v>0.56200000000000006</v>
      </c>
      <c r="L69" s="413">
        <f t="shared" si="16"/>
        <v>0</v>
      </c>
      <c r="M69" s="413">
        <f>L69/'[3]Wskaźniki emisji'!$E$26</f>
        <v>0</v>
      </c>
      <c r="N69" s="784"/>
      <c r="O69" s="414">
        <f>O66</f>
        <v>6.2440000000000002E-2</v>
      </c>
      <c r="P69" s="459">
        <f>L69*O69</f>
        <v>0</v>
      </c>
      <c r="Q69" s="778"/>
      <c r="R69" s="434"/>
      <c r="S69" s="434"/>
      <c r="T69" s="434"/>
      <c r="U69" s="24"/>
    </row>
    <row r="70" spans="1:21" ht="14.4">
      <c r="A70" s="793" t="s">
        <v>71</v>
      </c>
      <c r="B70" s="806">
        <f>B55+B58+B61+B64+B67</f>
        <v>8444.9130185866106</v>
      </c>
      <c r="C70" s="92" t="s">
        <v>32</v>
      </c>
      <c r="D70" s="435">
        <f>D55+D58+D61+D64+D67</f>
        <v>4495.6133849435546</v>
      </c>
      <c r="E70" s="415"/>
      <c r="F70" s="416"/>
      <c r="G70" s="417"/>
      <c r="H70" s="417"/>
      <c r="I70" s="417"/>
      <c r="J70" s="417"/>
      <c r="K70" s="417"/>
      <c r="L70" s="418">
        <f t="shared" ref="L70:M72" si="21">L55+L58+L61+L64+L67</f>
        <v>56383.007621127254</v>
      </c>
      <c r="M70" s="419">
        <f t="shared" si="21"/>
        <v>15661.946561424234</v>
      </c>
      <c r="N70" s="790">
        <f>SUM(M70:M72)</f>
        <v>29726.497927732969</v>
      </c>
      <c r="O70" s="419">
        <f>M70+M71+M72</f>
        <v>29726.497927732969</v>
      </c>
      <c r="P70" s="420">
        <f>P55+P58+P61+P64+P67</f>
        <v>3868.4381528855406</v>
      </c>
      <c r="Q70" s="810">
        <f>P70+P71+P72</f>
        <v>7467.4353685211172</v>
      </c>
      <c r="R70" s="436"/>
      <c r="S70" s="436"/>
      <c r="T70" s="436"/>
      <c r="U70" s="24"/>
    </row>
    <row r="71" spans="1:21" ht="14.4">
      <c r="A71" s="793"/>
      <c r="B71" s="794"/>
      <c r="C71" s="93" t="s">
        <v>33</v>
      </c>
      <c r="D71" s="435">
        <f>D56+D59+D62+D65+D68</f>
        <v>3159.0380491840988</v>
      </c>
      <c r="E71" s="415"/>
      <c r="F71" s="416"/>
      <c r="G71" s="417"/>
      <c r="H71" s="417"/>
      <c r="I71" s="417"/>
      <c r="J71" s="417"/>
      <c r="K71" s="417"/>
      <c r="L71" s="423">
        <f t="shared" si="21"/>
        <v>40175.491396807469</v>
      </c>
      <c r="M71" s="424">
        <f t="shared" si="21"/>
        <v>11159.858721335408</v>
      </c>
      <c r="N71" s="791"/>
      <c r="O71" s="437"/>
      <c r="P71" s="426">
        <f>P56+P59+P62+P65+P68</f>
        <v>2946.0687841278918</v>
      </c>
      <c r="Q71" s="811"/>
      <c r="R71" s="436"/>
      <c r="S71" s="436"/>
      <c r="T71" s="436"/>
      <c r="U71" s="24"/>
    </row>
    <row r="72" spans="1:21" ht="14.4">
      <c r="A72" s="793"/>
      <c r="B72" s="794"/>
      <c r="C72" s="93" t="s">
        <v>34</v>
      </c>
      <c r="D72" s="438">
        <f>D57+D60+D63+D66+D69</f>
        <v>790.26158445895931</v>
      </c>
      <c r="L72" s="428">
        <f t="shared" si="21"/>
        <v>10456.893521903979</v>
      </c>
      <c r="M72" s="429">
        <f t="shared" si="21"/>
        <v>2904.6926449733273</v>
      </c>
      <c r="N72" s="792"/>
      <c r="O72" s="439"/>
      <c r="P72" s="430">
        <f>P57+P60+P63+P66+P69</f>
        <v>652.92843150768442</v>
      </c>
      <c r="Q72" s="812"/>
      <c r="R72" s="440"/>
      <c r="S72" s="440"/>
      <c r="T72" s="440"/>
      <c r="U72" s="24"/>
    </row>
    <row r="73" spans="1:21">
      <c r="A73" s="24"/>
      <c r="B73" s="807"/>
      <c r="C73" s="433"/>
      <c r="D73" s="433"/>
      <c r="E73" s="441"/>
      <c r="F73" s="25"/>
      <c r="G73" s="433"/>
      <c r="H73" s="433"/>
      <c r="I73" s="433"/>
      <c r="J73" s="433"/>
      <c r="K73" s="433"/>
      <c r="L73" s="433"/>
      <c r="M73" s="433"/>
      <c r="N73" s="448"/>
      <c r="O73" s="433"/>
      <c r="P73" s="24"/>
      <c r="Q73" s="24"/>
      <c r="R73" s="24"/>
      <c r="S73" s="24"/>
      <c r="T73" s="24"/>
      <c r="U73" s="24"/>
    </row>
    <row r="74" spans="1:21">
      <c r="A74" s="24"/>
      <c r="B74" s="808"/>
      <c r="C74" s="442"/>
      <c r="D74" s="442"/>
      <c r="E74" s="441"/>
      <c r="F74" s="25"/>
      <c r="G74" s="433"/>
      <c r="H74" s="433"/>
      <c r="I74" s="433"/>
      <c r="J74" s="433"/>
      <c r="K74" s="433"/>
      <c r="L74" s="433"/>
      <c r="M74" s="433"/>
      <c r="N74" s="448"/>
      <c r="O74" s="433"/>
      <c r="P74" s="24"/>
      <c r="Q74" s="24"/>
      <c r="R74" s="24"/>
      <c r="S74" s="24"/>
      <c r="T74" s="24"/>
      <c r="U74" s="24"/>
    </row>
    <row r="75" spans="1:21">
      <c r="A75" s="24"/>
      <c r="B75" s="808"/>
      <c r="C75" s="442"/>
      <c r="D75" s="442"/>
      <c r="E75" s="441"/>
      <c r="F75" s="25"/>
      <c r="G75" s="433"/>
      <c r="H75" s="433"/>
      <c r="I75" s="433"/>
      <c r="J75" s="433"/>
      <c r="K75" s="433"/>
      <c r="L75" s="433"/>
      <c r="M75" s="433"/>
      <c r="N75" s="448"/>
      <c r="O75" s="433"/>
      <c r="P75" s="24"/>
      <c r="Q75" s="24"/>
      <c r="R75" s="24"/>
      <c r="S75" s="24"/>
      <c r="T75" s="24"/>
      <c r="U75" s="24"/>
    </row>
    <row r="76" spans="1:21">
      <c r="A76" s="803"/>
      <c r="B76" s="803"/>
      <c r="C76" s="803"/>
      <c r="D76" s="803"/>
      <c r="E76" s="24"/>
      <c r="F76" s="24"/>
      <c r="G76" s="24"/>
      <c r="H76" s="24"/>
      <c r="I76" s="24"/>
      <c r="J76" s="24"/>
      <c r="K76" s="24"/>
      <c r="L76" s="433"/>
      <c r="M76" s="433"/>
      <c r="N76" s="448"/>
      <c r="O76" s="433"/>
      <c r="P76" s="24"/>
      <c r="Q76" s="24"/>
      <c r="R76" s="24"/>
      <c r="S76" s="24"/>
      <c r="T76" s="24"/>
      <c r="U76" s="24"/>
    </row>
    <row r="77" spans="1:21">
      <c r="A77" s="803"/>
      <c r="B77" s="803"/>
      <c r="C77" s="803"/>
      <c r="D77" s="803"/>
    </row>
    <row r="78" spans="1:21">
      <c r="A78" s="803"/>
      <c r="B78" s="803"/>
      <c r="C78" s="803"/>
      <c r="D78" s="803"/>
    </row>
  </sheetData>
  <mergeCells count="94">
    <mergeCell ref="R46:R48"/>
    <mergeCell ref="Q40:Q42"/>
    <mergeCell ref="R40:R42"/>
    <mergeCell ref="A43:A45"/>
    <mergeCell ref="B43:B45"/>
    <mergeCell ref="N43:N45"/>
    <mergeCell ref="Q43:Q45"/>
    <mergeCell ref="R43:R45"/>
    <mergeCell ref="A40:A42"/>
    <mergeCell ref="B40:B42"/>
    <mergeCell ref="N40:N42"/>
    <mergeCell ref="A46:A48"/>
    <mergeCell ref="B46:B48"/>
    <mergeCell ref="R34:R36"/>
    <mergeCell ref="A37:A39"/>
    <mergeCell ref="B37:B39"/>
    <mergeCell ref="N37:N39"/>
    <mergeCell ref="Q37:Q39"/>
    <mergeCell ref="R37:R39"/>
    <mergeCell ref="A34:A36"/>
    <mergeCell ref="B34:B36"/>
    <mergeCell ref="N34:N36"/>
    <mergeCell ref="R29:R30"/>
    <mergeCell ref="A31:A33"/>
    <mergeCell ref="B31:B33"/>
    <mergeCell ref="N31:N33"/>
    <mergeCell ref="Q31:Q33"/>
    <mergeCell ref="R31:R33"/>
    <mergeCell ref="A29:P29"/>
    <mergeCell ref="Q70:Q72"/>
    <mergeCell ref="N55:N57"/>
    <mergeCell ref="N58:N60"/>
    <mergeCell ref="N61:N63"/>
    <mergeCell ref="Q29:Q30"/>
    <mergeCell ref="Q34:Q36"/>
    <mergeCell ref="Q55:Q57"/>
    <mergeCell ref="Q58:Q60"/>
    <mergeCell ref="Q61:Q63"/>
    <mergeCell ref="Q64:Q66"/>
    <mergeCell ref="Q67:Q69"/>
    <mergeCell ref="E52:F52"/>
    <mergeCell ref="A53:P53"/>
    <mergeCell ref="A70:A72"/>
    <mergeCell ref="B70:B72"/>
    <mergeCell ref="B73:B75"/>
    <mergeCell ref="A55:A57"/>
    <mergeCell ref="B55:B57"/>
    <mergeCell ref="A58:A60"/>
    <mergeCell ref="B58:B60"/>
    <mergeCell ref="N64:N66"/>
    <mergeCell ref="N67:N69"/>
    <mergeCell ref="N70:N72"/>
    <mergeCell ref="A76:D78"/>
    <mergeCell ref="A61:A63"/>
    <mergeCell ref="B61:B63"/>
    <mergeCell ref="A64:A66"/>
    <mergeCell ref="B64:B66"/>
    <mergeCell ref="A67:A69"/>
    <mergeCell ref="B67:B69"/>
    <mergeCell ref="A22:A24"/>
    <mergeCell ref="B22:B24"/>
    <mergeCell ref="R22:R24"/>
    <mergeCell ref="S13:S15"/>
    <mergeCell ref="A16:A18"/>
    <mergeCell ref="B16:B18"/>
    <mergeCell ref="Q16:Q18"/>
    <mergeCell ref="R16:R18"/>
    <mergeCell ref="S16:S18"/>
    <mergeCell ref="A19:A21"/>
    <mergeCell ref="B19:B21"/>
    <mergeCell ref="Q19:Q21"/>
    <mergeCell ref="R19:R21"/>
    <mergeCell ref="S19:S21"/>
    <mergeCell ref="N13:N15"/>
    <mergeCell ref="N16:N18"/>
    <mergeCell ref="N19:N21"/>
    <mergeCell ref="N22:N24"/>
    <mergeCell ref="B10:B12"/>
    <mergeCell ref="Q10:Q12"/>
    <mergeCell ref="R10:R12"/>
    <mergeCell ref="A13:A15"/>
    <mergeCell ref="B13:B15"/>
    <mergeCell ref="Q13:Q15"/>
    <mergeCell ref="R13:R15"/>
    <mergeCell ref="A10:A12"/>
    <mergeCell ref="N10:N12"/>
    <mergeCell ref="A5:P5"/>
    <mergeCell ref="Q5:Q6"/>
    <mergeCell ref="R5:R6"/>
    <mergeCell ref="A7:A9"/>
    <mergeCell ref="B7:B9"/>
    <mergeCell ref="Q7:Q9"/>
    <mergeCell ref="R7:R9"/>
    <mergeCell ref="N7:N9"/>
  </mergeCells>
  <pageMargins left="0.7" right="0.7" top="0.75" bottom="0.75" header="0.3" footer="0.3"/>
  <pageSetup paperSize="9" scale="3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showGridLines="0" view="pageBreakPreview" zoomScale="89" zoomScaleNormal="100" zoomScaleSheetLayoutView="89" workbookViewId="0">
      <selection activeCell="H6" sqref="H6:H12"/>
    </sheetView>
  </sheetViews>
  <sheetFormatPr defaultColWidth="10" defaultRowHeight="14.4"/>
  <cols>
    <col min="1" max="1" width="2.77734375" style="27" customWidth="1"/>
    <col min="2" max="2" width="10" style="27"/>
    <col min="3" max="3" width="19.88671875" style="27" customWidth="1"/>
    <col min="4" max="4" width="17.33203125" style="27" customWidth="1"/>
    <col min="5" max="5" width="17.77734375" style="27" customWidth="1"/>
    <col min="6" max="6" width="17.6640625" style="27" customWidth="1"/>
    <col min="7" max="7" width="17.77734375" style="27" customWidth="1"/>
    <col min="8" max="8" width="14.109375" style="27" customWidth="1"/>
    <col min="9" max="9" width="15.21875" style="27" customWidth="1"/>
    <col min="10" max="10" width="20" style="27" customWidth="1"/>
    <col min="11" max="11" width="15" style="27" bestFit="1" customWidth="1"/>
    <col min="12" max="12" width="10" style="27" customWidth="1"/>
    <col min="13" max="13" width="12.88671875" style="27" customWidth="1"/>
    <col min="14" max="14" width="10" style="27" customWidth="1"/>
    <col min="15" max="17" width="12.88671875" style="27" customWidth="1"/>
    <col min="18" max="18" width="10" style="27" customWidth="1"/>
    <col min="19" max="16384" width="10" style="27"/>
  </cols>
  <sheetData>
    <row r="1" spans="2:10" s="26" customFormat="1" ht="15" customHeight="1" thickBot="1"/>
    <row r="2" spans="2:10" s="26" customFormat="1" ht="18.600000000000001" thickBot="1">
      <c r="B2" s="827" t="s">
        <v>236</v>
      </c>
      <c r="C2" s="828"/>
      <c r="D2" s="828"/>
      <c r="E2" s="828"/>
      <c r="F2" s="828"/>
      <c r="G2" s="828"/>
      <c r="H2" s="828"/>
      <c r="I2" s="828"/>
      <c r="J2" s="829"/>
    </row>
    <row r="3" spans="2:10" s="26" customFormat="1" ht="15" customHeight="1"/>
    <row r="4" spans="2:10" ht="15" thickBot="1">
      <c r="B4" s="94"/>
      <c r="C4" s="94"/>
      <c r="D4" s="95"/>
      <c r="E4" s="96"/>
      <c r="F4" s="97"/>
    </row>
    <row r="5" spans="2:10" ht="15" thickBot="1">
      <c r="B5" s="818" t="s">
        <v>232</v>
      </c>
      <c r="C5" s="819"/>
      <c r="D5" s="819"/>
      <c r="E5" s="819"/>
      <c r="F5" s="820"/>
      <c r="G5" s="378"/>
    </row>
    <row r="6" spans="2:10" ht="37.200000000000003" customHeight="1" thickBot="1">
      <c r="B6" s="821" t="s">
        <v>36</v>
      </c>
      <c r="C6" s="822"/>
      <c r="D6" s="379" t="s">
        <v>37</v>
      </c>
      <c r="E6" s="380" t="s">
        <v>237</v>
      </c>
      <c r="F6" s="381" t="s">
        <v>235</v>
      </c>
      <c r="G6" s="382" t="s">
        <v>38</v>
      </c>
    </row>
    <row r="7" spans="2:10">
      <c r="B7" s="823" t="s">
        <v>17</v>
      </c>
      <c r="C7" s="824"/>
      <c r="D7" s="377">
        <v>6245</v>
      </c>
      <c r="E7" s="284">
        <f>D7*3.6</f>
        <v>22482</v>
      </c>
      <c r="F7" s="375">
        <f>'Wskaźniki emisji'!G18</f>
        <v>0.23097222222222222</v>
      </c>
      <c r="G7" s="376">
        <f>E7*F7</f>
        <v>5192.7174999999997</v>
      </c>
      <c r="H7" s="63"/>
    </row>
    <row r="8" spans="2:10">
      <c r="B8" s="825" t="s">
        <v>39</v>
      </c>
      <c r="C8" s="826"/>
      <c r="D8" s="370">
        <v>5780</v>
      </c>
      <c r="E8" s="80">
        <f>D8*3.6</f>
        <v>20808</v>
      </c>
      <c r="F8" s="384">
        <f>'Wskaźniki emisji'!G16</f>
        <v>9.4730000000000009E-2</v>
      </c>
      <c r="G8" s="98">
        <f>E8*F8</f>
        <v>1971.1418400000002</v>
      </c>
      <c r="H8" s="63"/>
    </row>
    <row r="9" spans="2:10">
      <c r="B9" s="825" t="s">
        <v>2</v>
      </c>
      <c r="C9" s="826"/>
      <c r="D9" s="370">
        <v>188</v>
      </c>
      <c r="E9" s="80">
        <f>D9*3.6</f>
        <v>676.80000000000007</v>
      </c>
      <c r="F9" s="384">
        <f>'Wskaźniki emisji'!G15</f>
        <v>7.740000000000001E-2</v>
      </c>
      <c r="G9" s="98">
        <f>E9*F9</f>
        <v>52.38432000000001</v>
      </c>
      <c r="H9" s="63"/>
    </row>
    <row r="10" spans="2:10" ht="15" thickBot="1">
      <c r="B10" s="816" t="s">
        <v>20</v>
      </c>
      <c r="C10" s="817"/>
      <c r="D10" s="371">
        <f>SUM(D7:D9)</f>
        <v>12213</v>
      </c>
      <c r="E10" s="383">
        <f>SUM(E7:E9)</f>
        <v>43966.8</v>
      </c>
      <c r="F10" s="372"/>
      <c r="G10" s="99">
        <f>SUM(G7:G9)</f>
        <v>7216.2436600000001</v>
      </c>
    </row>
    <row r="11" spans="2:10" ht="16.8" customHeight="1">
      <c r="B11" s="830"/>
      <c r="C11" s="830"/>
      <c r="D11" s="100"/>
      <c r="E11" s="101"/>
      <c r="F11" s="100"/>
    </row>
    <row r="12" spans="2:10" ht="15" thickBot="1">
      <c r="B12" s="473"/>
      <c r="C12" s="473"/>
      <c r="D12" s="474"/>
      <c r="E12" s="475"/>
      <c r="F12" s="476"/>
      <c r="G12" s="474"/>
    </row>
    <row r="13" spans="2:10" ht="15" thickBot="1">
      <c r="B13" s="818" t="s">
        <v>284</v>
      </c>
      <c r="C13" s="819"/>
      <c r="D13" s="819"/>
      <c r="E13" s="819"/>
      <c r="F13" s="820"/>
      <c r="G13" s="378"/>
    </row>
    <row r="14" spans="2:10" ht="29.4" thickBot="1">
      <c r="B14" s="821" t="s">
        <v>36</v>
      </c>
      <c r="C14" s="822"/>
      <c r="D14" s="379" t="s">
        <v>37</v>
      </c>
      <c r="E14" s="380" t="s">
        <v>237</v>
      </c>
      <c r="F14" s="381" t="s">
        <v>235</v>
      </c>
      <c r="G14" s="382" t="s">
        <v>38</v>
      </c>
    </row>
    <row r="15" spans="2:10">
      <c r="B15" s="823" t="s">
        <v>17</v>
      </c>
      <c r="C15" s="824"/>
      <c r="D15" s="377">
        <v>6250</v>
      </c>
      <c r="E15" s="284">
        <f>D15*3.6</f>
        <v>22500</v>
      </c>
      <c r="F15" s="375">
        <f>F7</f>
        <v>0.23097222222222222</v>
      </c>
      <c r="G15" s="376">
        <f>E15*F15</f>
        <v>5196.875</v>
      </c>
    </row>
    <row r="16" spans="2:10">
      <c r="B16" s="825" t="s">
        <v>39</v>
      </c>
      <c r="C16" s="826"/>
      <c r="D16" s="370">
        <v>5790</v>
      </c>
      <c r="E16" s="80">
        <f>D16*3.6</f>
        <v>20844</v>
      </c>
      <c r="F16" s="384">
        <f>F8</f>
        <v>9.4730000000000009E-2</v>
      </c>
      <c r="G16" s="98">
        <f>E16*F16</f>
        <v>1974.5521200000003</v>
      </c>
    </row>
    <row r="17" spans="2:9">
      <c r="B17" s="825" t="s">
        <v>2</v>
      </c>
      <c r="C17" s="826"/>
      <c r="D17" s="370">
        <v>188</v>
      </c>
      <c r="E17" s="80">
        <f>D17*3.6</f>
        <v>676.80000000000007</v>
      </c>
      <c r="F17" s="384">
        <f>F9</f>
        <v>7.740000000000001E-2</v>
      </c>
      <c r="G17" s="98">
        <f>E17*F17</f>
        <v>52.38432000000001</v>
      </c>
    </row>
    <row r="18" spans="2:9" ht="15" thickBot="1">
      <c r="B18" s="816" t="s">
        <v>20</v>
      </c>
      <c r="C18" s="817"/>
      <c r="D18" s="371">
        <f>SUM(D15:D17)</f>
        <v>12228</v>
      </c>
      <c r="E18" s="383">
        <f>SUM(E15:E17)</f>
        <v>44020.800000000003</v>
      </c>
      <c r="F18" s="372"/>
      <c r="G18" s="99">
        <f>SUM(G15:G17)</f>
        <v>7223.8114400000004</v>
      </c>
    </row>
    <row r="19" spans="2:9">
      <c r="B19" s="473"/>
      <c r="C19" s="473"/>
      <c r="D19" s="474"/>
      <c r="E19" s="475"/>
      <c r="F19" s="476"/>
      <c r="G19" s="474"/>
    </row>
    <row r="20" spans="2:9">
      <c r="B20" s="473"/>
      <c r="C20" s="473"/>
      <c r="D20" s="474"/>
      <c r="E20" s="475"/>
      <c r="F20" s="476"/>
      <c r="G20" s="474"/>
    </row>
    <row r="21" spans="2:9" ht="15" thickBot="1">
      <c r="B21" s="94"/>
      <c r="C21" s="94"/>
      <c r="D21" s="95"/>
      <c r="E21" s="95"/>
      <c r="F21" s="97"/>
    </row>
    <row r="22" spans="2:9" ht="15" thickBot="1">
      <c r="B22" s="818" t="s">
        <v>277</v>
      </c>
      <c r="C22" s="819"/>
      <c r="D22" s="819"/>
      <c r="E22" s="819"/>
      <c r="F22" s="820"/>
      <c r="G22" s="378"/>
      <c r="H22" s="63"/>
      <c r="I22" s="102"/>
    </row>
    <row r="23" spans="2:9" s="103" customFormat="1" ht="36" customHeight="1" thickBot="1">
      <c r="B23" s="821" t="str">
        <f>B6</f>
        <v>Paliwo</v>
      </c>
      <c r="C23" s="822"/>
      <c r="D23" s="379" t="str">
        <f>D6</f>
        <v>Zużycie MWh</v>
      </c>
      <c r="E23" s="380" t="str">
        <f>E6</f>
        <v>Zużycie GJ</v>
      </c>
      <c r="F23" s="381" t="str">
        <f>F6</f>
        <v>wskaźnik emisji [Mg CO2/GJ]</v>
      </c>
      <c r="G23" s="382" t="s">
        <v>38</v>
      </c>
      <c r="H23" s="63"/>
      <c r="I23" s="104"/>
    </row>
    <row r="24" spans="2:9" ht="15" customHeight="1">
      <c r="B24" s="823" t="str">
        <f>B7</f>
        <v>Energia elektryczna</v>
      </c>
      <c r="C24" s="824"/>
      <c r="D24" s="374">
        <f>(D7*'Informacje ogolne'!J35)+'Sektor Handlu i Usług'!D7</f>
        <v>6270.881315052352</v>
      </c>
      <c r="E24" s="284">
        <f>D24*3.6</f>
        <v>22575.172734188469</v>
      </c>
      <c r="F24" s="375">
        <f>F7</f>
        <v>0.23097222222222222</v>
      </c>
      <c r="G24" s="376">
        <f>E24*F24</f>
        <v>5214.2378134660312</v>
      </c>
      <c r="H24" s="63"/>
      <c r="I24" s="102"/>
    </row>
    <row r="25" spans="2:9">
      <c r="B25" s="825" t="str">
        <f>B8</f>
        <v>Węgiel</v>
      </c>
      <c r="C25" s="826"/>
      <c r="D25" s="373">
        <f>(D8*'Informacje ogolne'!J35)+'Sektor Handlu i Usług'!D8</f>
        <v>5803.9542035232334</v>
      </c>
      <c r="E25" s="80">
        <f>D25*3.6</f>
        <v>20894.23513268364</v>
      </c>
      <c r="F25" s="384">
        <f>F8</f>
        <v>9.4730000000000009E-2</v>
      </c>
      <c r="G25" s="98">
        <f>E25*F25</f>
        <v>1979.3108941191213</v>
      </c>
      <c r="I25" s="105"/>
    </row>
    <row r="26" spans="2:9">
      <c r="B26" s="825" t="str">
        <f>B9</f>
        <v>Olej opałowy</v>
      </c>
      <c r="C26" s="826"/>
      <c r="D26" s="373">
        <f>(D9*'Informacje ogolne'!J35)+'Sektor Handlu i Usług'!D9</f>
        <v>188.77913326338543</v>
      </c>
      <c r="E26" s="80">
        <f>D26*3.6</f>
        <v>679.60487974818761</v>
      </c>
      <c r="F26" s="384">
        <f>F9</f>
        <v>7.740000000000001E-2</v>
      </c>
      <c r="G26" s="98">
        <f>E26*F26</f>
        <v>52.601417692509727</v>
      </c>
      <c r="H26" s="106"/>
    </row>
    <row r="27" spans="2:9" ht="15" thickBot="1">
      <c r="B27" s="816" t="s">
        <v>20</v>
      </c>
      <c r="C27" s="817"/>
      <c r="D27" s="371">
        <f>SUM(D24:D26)</f>
        <v>12263.614651838972</v>
      </c>
      <c r="E27" s="383">
        <f>SUM(E24:E26)</f>
        <v>44149.01274662029</v>
      </c>
      <c r="F27" s="372"/>
      <c r="G27" s="99">
        <f>SUM(G24:G26)</f>
        <v>7246.1501252776625</v>
      </c>
    </row>
  </sheetData>
  <mergeCells count="20">
    <mergeCell ref="B27:C27"/>
    <mergeCell ref="B25:C25"/>
    <mergeCell ref="B26:C26"/>
    <mergeCell ref="B2:J2"/>
    <mergeCell ref="B11:C11"/>
    <mergeCell ref="B22:F22"/>
    <mergeCell ref="B23:C23"/>
    <mergeCell ref="B24:C24"/>
    <mergeCell ref="B5:F5"/>
    <mergeCell ref="B6:C6"/>
    <mergeCell ref="B7:C7"/>
    <mergeCell ref="B8:C8"/>
    <mergeCell ref="B9:C9"/>
    <mergeCell ref="B10:C10"/>
    <mergeCell ref="B17:C17"/>
    <mergeCell ref="B18:C18"/>
    <mergeCell ref="B13:F13"/>
    <mergeCell ref="B14:C14"/>
    <mergeCell ref="B15:C15"/>
    <mergeCell ref="B16:C1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5"/>
  <sheetViews>
    <sheetView view="pageBreakPreview" topLeftCell="F1" zoomScale="136" zoomScaleNormal="100" zoomScaleSheetLayoutView="136" workbookViewId="0">
      <selection activeCell="I18" sqref="I18"/>
    </sheetView>
  </sheetViews>
  <sheetFormatPr defaultColWidth="10" defaultRowHeight="14.4"/>
  <cols>
    <col min="1" max="1" width="2.77734375" style="27" customWidth="1"/>
    <col min="2" max="2" width="20" style="27" customWidth="1"/>
    <col min="3" max="4" width="17.6640625" style="27" customWidth="1"/>
    <col min="5" max="5" width="15" style="27" bestFit="1" customWidth="1"/>
    <col min="6" max="7" width="17.33203125" style="27" customWidth="1"/>
    <col min="8" max="8" width="17.77734375" style="27" customWidth="1"/>
    <col min="9" max="9" width="20" style="27" customWidth="1"/>
    <col min="10" max="10" width="15" style="27" bestFit="1" customWidth="1"/>
    <col min="11" max="11" width="10" style="27" customWidth="1"/>
    <col min="12" max="12" width="12.88671875" style="27" customWidth="1"/>
    <col min="13" max="13" width="10" style="27" customWidth="1"/>
    <col min="14" max="16" width="12.88671875" style="27" customWidth="1"/>
    <col min="17" max="17" width="10" style="27" customWidth="1"/>
    <col min="18" max="16384" width="10" style="27"/>
  </cols>
  <sheetData>
    <row r="1" spans="1:8" s="26" customFormat="1" ht="15" customHeight="1" thickBot="1"/>
    <row r="2" spans="1:8" s="26" customFormat="1" ht="18.600000000000001" thickBot="1">
      <c r="B2" s="827" t="s">
        <v>536</v>
      </c>
      <c r="C2" s="828"/>
      <c r="D2" s="828"/>
      <c r="E2" s="828"/>
      <c r="F2" s="828"/>
      <c r="G2" s="828"/>
      <c r="H2" s="829"/>
    </row>
    <row r="3" spans="1:8" s="26" customFormat="1" ht="15" customHeight="1"/>
    <row r="4" spans="1:8" ht="15" thickBot="1">
      <c r="B4" s="831"/>
      <c r="C4" s="831"/>
      <c r="D4" s="285"/>
      <c r="E4" s="107"/>
      <c r="F4" s="107"/>
      <c r="G4" s="107"/>
      <c r="H4" s="107"/>
    </row>
    <row r="5" spans="1:8" ht="31.8" thickBot="1">
      <c r="B5" s="254"/>
      <c r="C5" s="545" t="s">
        <v>40</v>
      </c>
      <c r="D5" s="546" t="s">
        <v>234</v>
      </c>
      <c r="E5" s="547" t="s">
        <v>41</v>
      </c>
      <c r="F5" s="547" t="s">
        <v>30</v>
      </c>
      <c r="G5" s="45" t="s">
        <v>42</v>
      </c>
      <c r="H5" s="548" t="s">
        <v>43</v>
      </c>
    </row>
    <row r="6" spans="1:8">
      <c r="B6" s="252"/>
      <c r="C6" s="549">
        <v>1640</v>
      </c>
      <c r="D6" s="550">
        <v>60.46</v>
      </c>
      <c r="E6" s="835">
        <v>4024</v>
      </c>
      <c r="F6" s="837">
        <v>405.65</v>
      </c>
      <c r="G6" s="839">
        <f>'Wskaźniki emisji'!E18</f>
        <v>0.83150000000000002</v>
      </c>
      <c r="H6" s="841">
        <f>F6*G6</f>
        <v>337.29797500000001</v>
      </c>
    </row>
    <row r="7" spans="1:8" ht="15" thickBot="1">
      <c r="B7" s="252"/>
      <c r="C7" s="256">
        <v>241</v>
      </c>
      <c r="D7" s="557">
        <v>12.68</v>
      </c>
      <c r="E7" s="836"/>
      <c r="F7" s="838"/>
      <c r="G7" s="840"/>
      <c r="H7" s="842"/>
    </row>
    <row r="8" spans="1:8" ht="15" thickBot="1">
      <c r="B8" s="253"/>
      <c r="C8" s="556">
        <f>SUM(C6:C7)</f>
        <v>1881</v>
      </c>
      <c r="D8" s="108"/>
      <c r="E8" s="109" t="s">
        <v>20</v>
      </c>
      <c r="F8" s="110">
        <f>SUM(F6:F6)</f>
        <v>405.65</v>
      </c>
      <c r="G8" s="111"/>
      <c r="H8" s="112">
        <f>SUM(H6:H6)</f>
        <v>337.29797500000001</v>
      </c>
    </row>
    <row r="9" spans="1:8">
      <c r="B9" s="108"/>
      <c r="C9" s="108"/>
      <c r="D9" s="108"/>
      <c r="E9" s="111"/>
      <c r="F9" s="111"/>
      <c r="G9" s="111"/>
      <c r="H9" s="111"/>
    </row>
    <row r="10" spans="1:8">
      <c r="A10" s="37"/>
      <c r="B10" s="37"/>
      <c r="C10" s="37"/>
      <c r="D10" s="37"/>
      <c r="E10" s="37"/>
      <c r="F10" s="37"/>
    </row>
    <row r="11" spans="1:8">
      <c r="A11" s="37"/>
      <c r="B11" s="831"/>
      <c r="C11" s="831"/>
      <c r="D11" s="285"/>
      <c r="E11" s="257"/>
      <c r="F11" s="37"/>
    </row>
    <row r="12" spans="1:8">
      <c r="A12" s="37"/>
      <c r="B12" s="258"/>
      <c r="C12" s="834" t="s">
        <v>272</v>
      </c>
      <c r="D12" s="834"/>
      <c r="E12" s="551">
        <f>(C6*D6)/1000</f>
        <v>99.154399999999995</v>
      </c>
      <c r="F12" s="37"/>
      <c r="G12" s="276"/>
    </row>
    <row r="13" spans="1:8">
      <c r="A13" s="37"/>
      <c r="B13" s="259"/>
      <c r="C13" s="832"/>
      <c r="D13" s="832"/>
      <c r="E13" s="833"/>
      <c r="F13" s="37"/>
      <c r="G13" s="105"/>
    </row>
    <row r="14" spans="1:8">
      <c r="A14" s="37"/>
      <c r="B14" s="37"/>
      <c r="C14" s="37"/>
      <c r="D14" s="37"/>
      <c r="E14" s="37"/>
      <c r="F14" s="37"/>
    </row>
    <row r="15" spans="1:8">
      <c r="A15" s="37"/>
      <c r="B15" s="37"/>
      <c r="C15" s="37"/>
      <c r="D15" s="37"/>
      <c r="E15" s="37"/>
      <c r="F15" s="37"/>
    </row>
  </sheetData>
  <mergeCells count="9">
    <mergeCell ref="B4:C4"/>
    <mergeCell ref="B11:C11"/>
    <mergeCell ref="C13:E13"/>
    <mergeCell ref="B2:H2"/>
    <mergeCell ref="C12:D12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view="pageBreakPreview" topLeftCell="A4" zoomScale="92" zoomScaleNormal="86" zoomScaleSheetLayoutView="92" workbookViewId="0">
      <selection activeCell="I8" sqref="I8"/>
    </sheetView>
  </sheetViews>
  <sheetFormatPr defaultColWidth="10" defaultRowHeight="14.4"/>
  <cols>
    <col min="1" max="1" width="2.77734375" style="27" customWidth="1"/>
    <col min="2" max="2" width="6.33203125" style="27" customWidth="1"/>
    <col min="3" max="3" width="35.109375" style="27" customWidth="1"/>
    <col min="4" max="7" width="17.33203125" style="27" customWidth="1"/>
    <col min="8" max="9" width="15.77734375" style="27" customWidth="1"/>
    <col min="10" max="10" width="20" style="27" customWidth="1"/>
    <col min="11" max="11" width="19.109375" style="27" customWidth="1"/>
    <col min="12" max="12" width="22.109375" style="27" customWidth="1"/>
    <col min="13" max="13" width="12.88671875" style="27" customWidth="1"/>
    <col min="14" max="14" width="10" style="27" customWidth="1"/>
    <col min="15" max="17" width="12.88671875" style="27" customWidth="1"/>
    <col min="18" max="18" width="10" style="27" customWidth="1"/>
    <col min="19" max="16384" width="10" style="27"/>
  </cols>
  <sheetData>
    <row r="1" spans="2:13" s="26" customFormat="1" ht="15" customHeight="1" thickBot="1"/>
    <row r="2" spans="2:13" s="26" customFormat="1" ht="18.600000000000001" thickBot="1">
      <c r="B2" s="827" t="s">
        <v>163</v>
      </c>
      <c r="C2" s="828"/>
      <c r="D2" s="828"/>
      <c r="E2" s="828"/>
      <c r="F2" s="828"/>
      <c r="G2" s="828"/>
      <c r="H2" s="828"/>
      <c r="I2" s="828"/>
      <c r="J2" s="828"/>
      <c r="K2" s="829"/>
    </row>
    <row r="3" spans="2:13" s="26" customFormat="1" ht="15" customHeight="1" thickBot="1"/>
    <row r="4" spans="2:13" ht="45.6">
      <c r="B4" s="113" t="s">
        <v>45</v>
      </c>
      <c r="C4" s="90" t="s">
        <v>46</v>
      </c>
      <c r="D4" s="90" t="s">
        <v>47</v>
      </c>
      <c r="E4" s="90" t="s">
        <v>27</v>
      </c>
      <c r="F4" s="90" t="s">
        <v>48</v>
      </c>
      <c r="G4" s="255" t="s">
        <v>233</v>
      </c>
      <c r="H4" s="90" t="s">
        <v>49</v>
      </c>
      <c r="I4" s="90" t="s">
        <v>231</v>
      </c>
      <c r="J4" s="90" t="s">
        <v>50</v>
      </c>
      <c r="K4" s="91" t="s">
        <v>51</v>
      </c>
    </row>
    <row r="5" spans="2:13" s="103" customFormat="1" ht="53.25" customHeight="1">
      <c r="B5" s="114">
        <v>1</v>
      </c>
      <c r="C5" s="279" t="s">
        <v>535</v>
      </c>
      <c r="D5" s="280">
        <v>18.920000000000002</v>
      </c>
      <c r="E5" s="368">
        <f>'Wskaźniki emisji'!E18</f>
        <v>0.83150000000000002</v>
      </c>
      <c r="F5" s="281" t="s">
        <v>194</v>
      </c>
      <c r="G5" s="280">
        <f>758.9*'Wskaźniki emisji'!G4</f>
        <v>42.574290000000005</v>
      </c>
      <c r="H5" s="280">
        <f>G5/3.6</f>
        <v>11.826191666666668</v>
      </c>
      <c r="I5" s="368">
        <f>'Wskaźniki emisji'!G4</f>
        <v>5.6100000000000004E-2</v>
      </c>
      <c r="J5" s="280">
        <f t="shared" ref="J5:J8" si="0">D5*E5</f>
        <v>15.731980000000002</v>
      </c>
      <c r="K5" s="280">
        <f t="shared" ref="K5:K8" si="1">G5*I5</f>
        <v>2.3884176690000003</v>
      </c>
      <c r="L5" s="115"/>
    </row>
    <row r="6" spans="2:13" s="103" customFormat="1" ht="53.25" customHeight="1">
      <c r="B6" s="114">
        <v>2</v>
      </c>
      <c r="C6" s="279" t="s">
        <v>537</v>
      </c>
      <c r="D6" s="280">
        <v>12.68</v>
      </c>
      <c r="E6" s="368">
        <f>E5</f>
        <v>0.83150000000000002</v>
      </c>
      <c r="F6" s="282" t="s">
        <v>194</v>
      </c>
      <c r="G6" s="369">
        <f>5833*'Wskaźniki emisji'!G4</f>
        <v>327.23130000000003</v>
      </c>
      <c r="H6" s="280">
        <f>G6/3.6</f>
        <v>90.897583333333344</v>
      </c>
      <c r="I6" s="368">
        <f>I5</f>
        <v>5.6100000000000004E-2</v>
      </c>
      <c r="J6" s="280">
        <f t="shared" si="0"/>
        <v>10.543419999999999</v>
      </c>
      <c r="K6" s="280">
        <f t="shared" si="1"/>
        <v>18.357675930000003</v>
      </c>
      <c r="L6" s="115"/>
    </row>
    <row r="7" spans="2:13" s="103" customFormat="1" ht="53.25" customHeight="1">
      <c r="B7" s="114">
        <v>3</v>
      </c>
      <c r="C7" s="279" t="s">
        <v>538</v>
      </c>
      <c r="D7" s="281">
        <v>13.57</v>
      </c>
      <c r="E7" s="368">
        <f>E6</f>
        <v>0.83150000000000002</v>
      </c>
      <c r="F7" s="281" t="s">
        <v>194</v>
      </c>
      <c r="G7" s="280">
        <f>1113.06*'Wskaźniki emisji'!G4</f>
        <v>62.442666000000003</v>
      </c>
      <c r="H7" s="280">
        <f>G7/3.6</f>
        <v>17.345185000000001</v>
      </c>
      <c r="I7" s="368">
        <f>I6</f>
        <v>5.6100000000000004E-2</v>
      </c>
      <c r="J7" s="280">
        <f t="shared" si="0"/>
        <v>11.283455</v>
      </c>
      <c r="K7" s="280">
        <f t="shared" si="1"/>
        <v>3.5030335626000002</v>
      </c>
      <c r="L7" s="115"/>
      <c r="M7" s="115"/>
    </row>
    <row r="8" spans="2:13" s="103" customFormat="1" ht="53.25" customHeight="1" thickBot="1">
      <c r="B8" s="114">
        <v>4</v>
      </c>
      <c r="C8" s="279" t="s">
        <v>539</v>
      </c>
      <c r="D8" s="280">
        <v>1689.56</v>
      </c>
      <c r="E8" s="368">
        <f>E6</f>
        <v>0.83150000000000002</v>
      </c>
      <c r="F8" s="281" t="str">
        <f>F7</f>
        <v>gaz</v>
      </c>
      <c r="G8" s="554">
        <f>10746*'Wskaźniki emisji'!G4</f>
        <v>602.8506000000001</v>
      </c>
      <c r="H8" s="280">
        <f>G8/3.6</f>
        <v>167.45850000000002</v>
      </c>
      <c r="I8" s="368">
        <f>I7</f>
        <v>5.6100000000000004E-2</v>
      </c>
      <c r="J8" s="280">
        <f t="shared" si="0"/>
        <v>1404.86914</v>
      </c>
      <c r="K8" s="280">
        <f t="shared" si="1"/>
        <v>33.819918660000006</v>
      </c>
      <c r="L8" s="115"/>
      <c r="M8" s="115"/>
    </row>
    <row r="9" spans="2:13" ht="15" thickBot="1">
      <c r="B9" s="116"/>
      <c r="C9" s="117" t="s">
        <v>20</v>
      </c>
      <c r="D9" s="118">
        <f>SUM(D5:D8)</f>
        <v>1734.73</v>
      </c>
      <c r="E9" s="119"/>
      <c r="F9" s="116"/>
      <c r="G9" s="555">
        <f>SUM(G5:G8)</f>
        <v>1035.0988560000001</v>
      </c>
      <c r="H9" s="120">
        <f>SUM(H5:H8)</f>
        <v>287.52746000000002</v>
      </c>
      <c r="I9" s="121"/>
      <c r="J9" s="118">
        <f>SUM(J5:J8)</f>
        <v>1442.427995</v>
      </c>
      <c r="K9" s="118">
        <f>SUM(K5:K8)</f>
        <v>58.069045821600007</v>
      </c>
    </row>
    <row r="11" spans="2:13">
      <c r="C11" s="552"/>
      <c r="D11" s="552"/>
      <c r="E11" s="552"/>
      <c r="F11" s="552"/>
    </row>
    <row r="12" spans="2:13">
      <c r="C12" s="552"/>
      <c r="D12" s="553"/>
      <c r="E12" s="553"/>
      <c r="F12" s="552"/>
    </row>
    <row r="13" spans="2:13">
      <c r="C13" s="552"/>
      <c r="D13" s="553"/>
      <c r="E13" s="553"/>
      <c r="F13" s="552"/>
    </row>
    <row r="14" spans="2:13">
      <c r="C14" s="552"/>
      <c r="D14" s="552"/>
      <c r="E14" s="552"/>
      <c r="F14" s="552"/>
    </row>
  </sheetData>
  <autoFilter ref="B4:K9"/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20</vt:i4>
      </vt:variant>
    </vt:vector>
  </HeadingPairs>
  <TitlesOfParts>
    <vt:vector size="37" baseType="lpstr">
      <vt:lpstr>Wskaźniki emisji</vt:lpstr>
      <vt:lpstr>Wskaźniki emisji subst.</vt:lpstr>
      <vt:lpstr>Informacje ogolne</vt:lpstr>
      <vt:lpstr>Ankietyzacja mieszkańców</vt:lpstr>
      <vt:lpstr>Sektor mieszkaniowy</vt:lpstr>
      <vt:lpstr>Sektor transportu</vt:lpstr>
      <vt:lpstr>Sektor Handlu i Usług</vt:lpstr>
      <vt:lpstr>Sektor oświetlenia ulicznego</vt:lpstr>
      <vt:lpstr>Sektor użyteczności publicznej</vt:lpstr>
      <vt:lpstr>Emisja pyłów i B(a)P</vt:lpstr>
      <vt:lpstr>Zużycie energii -sektory SEAP</vt:lpstr>
      <vt:lpstr>Emisja CO2 - sektory SEAP</vt:lpstr>
      <vt:lpstr>Bilans</vt:lpstr>
      <vt:lpstr>Działania</vt:lpstr>
      <vt:lpstr>Metodyka</vt:lpstr>
      <vt:lpstr>Planowane rezultaty</vt:lpstr>
      <vt:lpstr>Monitoring</vt:lpstr>
      <vt:lpstr>NIE_STALE</vt:lpstr>
      <vt:lpstr>Bilans!Obszar_wydruku</vt:lpstr>
      <vt:lpstr>Działania!Obszar_wydruku</vt:lpstr>
      <vt:lpstr>'Emisja CO2 - sektory SEAP'!Obszar_wydruku</vt:lpstr>
      <vt:lpstr>'Emisja pyłów i B(a)P'!Obszar_wydruku</vt:lpstr>
      <vt:lpstr>'Informacje ogolne'!Obszar_wydruku</vt:lpstr>
      <vt:lpstr>Metodyka!Obszar_wydruku</vt:lpstr>
      <vt:lpstr>Monitoring!Obszar_wydruku</vt:lpstr>
      <vt:lpstr>'Planowane rezultaty'!Obszar_wydruku</vt:lpstr>
      <vt:lpstr>'Sektor Handlu i Usług'!Obszar_wydruku</vt:lpstr>
      <vt:lpstr>'Sektor mieszkaniowy'!Obszar_wydruku</vt:lpstr>
      <vt:lpstr>'Sektor oświetlenia ulicznego'!Obszar_wydruku</vt:lpstr>
      <vt:lpstr>'Sektor transportu'!Obszar_wydruku</vt:lpstr>
      <vt:lpstr>'Sektor użyteczności publicznej'!Obszar_wydruku</vt:lpstr>
      <vt:lpstr>'Wskaźniki emisji'!Obszar_wydruku</vt:lpstr>
      <vt:lpstr>Bilans!Tytuły_wydruku</vt:lpstr>
      <vt:lpstr>'Sektor mieszkaniowy'!Tytuły_wydruku</vt:lpstr>
      <vt:lpstr>WEGIEL</vt:lpstr>
      <vt:lpstr>ZAPOTRZEBOWANIE_JEDNO</vt:lpstr>
      <vt:lpstr>ZAPOTRZEBOWANIE_WIELO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2018-10-09T09:21:21Z</cp:lastPrinted>
  <dcterms:created xsi:type="dcterms:W3CDTF">2017-04-23T14:01:21Z</dcterms:created>
  <dcterms:modified xsi:type="dcterms:W3CDTF">2018-10-09T09:24:32Z</dcterms:modified>
</cp:coreProperties>
</file>